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729"/>
  <workbookPr filterPrivacy="1" defaultThemeVersion="124226"/>
  <bookViews>
    <workbookView xWindow="-108" yWindow="-108" windowWidth="19416" windowHeight="10296" tabRatio="735" activeTab="4"/>
  </bookViews>
  <sheets>
    <sheet name="Trial Balance" sheetId="65" r:id="rId1"/>
    <sheet name="Capital expenses and normal" sheetId="66" r:id="rId2"/>
    <sheet name="Sundry Creditors" sheetId="63" r:id="rId3"/>
    <sheet name="Sundry Debtors" sheetId="62" r:id="rId4"/>
    <sheet name="BS PL CFL" sheetId="19" r:id="rId5"/>
    <sheet name="Computation-IT" sheetId="53" state="hidden" r:id="rId6"/>
    <sheet name="Equity" sheetId="50" state="hidden" r:id="rId7"/>
    <sheet name="P&amp;L" sheetId="20" state="hidden" r:id="rId8"/>
    <sheet name="Cash- Folw" sheetId="32" state="hidden" r:id="rId9"/>
    <sheet name="Sch" sheetId="49" r:id="rId10"/>
    <sheet name="sch 1-PPE" sheetId="44" r:id="rId11"/>
    <sheet name="sch 12-12.2" sheetId="25" r:id="rId12"/>
    <sheet name="Sheet3" sheetId="51" state="hidden" r:id="rId13"/>
    <sheet name="TB-30.03.2021" sheetId="52" state="hidden" r:id="rId14"/>
    <sheet name="Notes to Cash Flow" sheetId="46" state="hidden" r:id="rId15"/>
    <sheet name="Sch1-2" sheetId="22" state="hidden" r:id="rId16"/>
    <sheet name="sch-4-13" sheetId="23" state="hidden" r:id="rId17"/>
    <sheet name="DTLDFA" sheetId="47" state="hidden" r:id="rId18"/>
    <sheet name="iash-3" sheetId="24" state="hidden" r:id="rId19"/>
    <sheet name="IT Dep" sheetId="45" state="hidden" r:id="rId20"/>
    <sheet name="workings" sheetId="36" state="hidden" r:id="rId21"/>
    <sheet name="Computation" sheetId="42" r:id="rId22"/>
    <sheet name="TB NEW" sheetId="60" r:id="rId23"/>
    <sheet name="Ratios" sheetId="55" r:id="rId24"/>
    <sheet name="sch 19-26" sheetId="37" state="hidden" r:id="rId25"/>
    <sheet name="COE" sheetId="21" state="hidden" r:id="rId26"/>
    <sheet name="cash flow" sheetId="16" state="hidden" r:id="rId27"/>
    <sheet name="COMP" sheetId="27" state="hidden" r:id="rId28"/>
    <sheet name="MAT" sheetId="28" state="hidden" r:id="rId29"/>
    <sheet name="Tax Dep" sheetId="29" state="hidden" r:id="rId30"/>
    <sheet name="Final tb" sheetId="2" state="hidden" r:id="rId31"/>
    <sheet name="Def Tax" sheetId="30" state="hidden" r:id="rId32"/>
    <sheet name="sundrydebtors" sheetId="39" state="hidden" r:id="rId33"/>
    <sheet name="SUNDRY CREDI" sheetId="40" state="hidden" r:id="rId34"/>
    <sheet name="TB-Export" sheetId="18" state="hidden" r:id="rId35"/>
    <sheet name="Closing Stock" sheetId="8" state="hidden" r:id="rId36"/>
    <sheet name="Schedules for debtors" sheetId="31" state="hidden" r:id="rId37"/>
    <sheet name="Sheet2" sheetId="33" state="hidden" r:id="rId38"/>
    <sheet name="Schedule for creditors" sheetId="34" state="hidden" r:id="rId39"/>
    <sheet name="Sheet1" sheetId="35" state="hidden" r:id="rId40"/>
  </sheets>
  <externalReferences>
    <externalReference r:id="rId41"/>
    <externalReference r:id="rId42"/>
    <externalReference r:id="rId43"/>
  </externalReferences>
  <definedNames>
    <definedName name="_xlnm._FilterDatabase" localSheetId="1" hidden="1">'Capital expenses and normal'!$A$1:$R$73</definedName>
    <definedName name="_xlnm._FilterDatabase" localSheetId="9" hidden="1">Sch!$B$82:$C$113</definedName>
    <definedName name="_xlnm._FilterDatabase" localSheetId="2" hidden="1">'Sundry Creditors'!$A$1:$E$172</definedName>
    <definedName name="_xlnm._FilterDatabase" localSheetId="3" hidden="1">'Sundry Debtors'!$A$2:$M$30</definedName>
    <definedName name="_xlnm._FilterDatabase" localSheetId="22" hidden="1">'TB NEW'!$A$74:$H$99</definedName>
    <definedName name="_xlnm._FilterDatabase" localSheetId="0" hidden="1">'Trial Balance'!$A$11:$R$1356</definedName>
    <definedName name="_xlnm.Print_Area" localSheetId="4">'BS PL CFL'!$B$2:$F$282</definedName>
    <definedName name="_xlnm.Print_Area" localSheetId="8">'Cash- Folw'!$B$4:$G$113</definedName>
    <definedName name="_xlnm.Print_Area" localSheetId="25">COE!$A$1:$F$39</definedName>
    <definedName name="_xlnm.Print_Area" localSheetId="27">COMP!$A$1:$I$46</definedName>
    <definedName name="_xlnm.Print_Area" localSheetId="31">'Def Tax'!$A$1:$I$12</definedName>
    <definedName name="_xlnm.Print_Area" localSheetId="17">DTLDFA!$A$3:$G$39</definedName>
    <definedName name="_xlnm.Print_Area" localSheetId="6">Equity!$B$1:$H$54</definedName>
    <definedName name="_xlnm.Print_Area" localSheetId="28">MAT!$A$1:$I$37</definedName>
    <definedName name="_xlnm.Print_Area" localSheetId="7">'P&amp;L'!$B$1:$G$84</definedName>
    <definedName name="_xlnm.Print_Area" localSheetId="9">Sch!$A$1:$F$565</definedName>
    <definedName name="_xlnm.Print_Area" localSheetId="11">'sch 12-12.2'!$B$2:$G$91</definedName>
    <definedName name="_xlnm.Print_Area" localSheetId="24">'sch 19-26'!$B$1:$G$44</definedName>
    <definedName name="_xlnm.Print_Area" localSheetId="10">'sch 1-PPE'!$A$1:$L$84</definedName>
    <definedName name="_xlnm.Print_Area" localSheetId="15">'Sch1-2'!$B$1:$B$82</definedName>
    <definedName name="_xlnm.Print_Area" localSheetId="16">'sch-4-13'!$A$1:$G$353</definedName>
    <definedName name="_xlnm.Print_Area" localSheetId="36">'Schedules for debtors'!$A$1:$B$156</definedName>
    <definedName name="_xlnm.Print_Area" localSheetId="20">workings!$A$1:$D$50</definedName>
    <definedName name="_xlnm.Print_Titles" localSheetId="7">'P&amp;L'!$1:$2</definedName>
    <definedName name="_xlnm.Print_Titles" localSheetId="9">Sch!$4:$4</definedName>
    <definedName name="_xlnm.Print_Titles" localSheetId="16">'sch-4-13'!$2:$2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2" i="19" l="1"/>
  <c r="R48" i="66"/>
  <c r="Q48" i="66"/>
  <c r="P48" i="66"/>
  <c r="O48" i="66"/>
  <c r="E25" i="65"/>
  <c r="C25" i="65"/>
  <c r="R56" i="65"/>
  <c r="R57" i="65"/>
  <c r="E57" i="65"/>
  <c r="E56" i="65"/>
  <c r="D57" i="65"/>
  <c r="D56" i="65"/>
  <c r="M180" i="63" l="1"/>
  <c r="R56" i="66"/>
  <c r="D520" i="49" s="1"/>
  <c r="Q56" i="66"/>
  <c r="P56" i="66"/>
  <c r="O56" i="66"/>
  <c r="E258" i="65"/>
  <c r="D258" i="65"/>
  <c r="R47" i="66"/>
  <c r="Q47" i="66"/>
  <c r="P47" i="66"/>
  <c r="O47" i="66"/>
  <c r="R46" i="66"/>
  <c r="Q46" i="66"/>
  <c r="P46" i="66"/>
  <c r="O46" i="66"/>
  <c r="R45" i="66"/>
  <c r="Q45" i="66"/>
  <c r="P45" i="66"/>
  <c r="O45" i="66"/>
  <c r="R44" i="66"/>
  <c r="Q44" i="66"/>
  <c r="P44" i="66"/>
  <c r="O44" i="66"/>
  <c r="R43" i="66"/>
  <c r="Q43" i="66"/>
  <c r="P43" i="66"/>
  <c r="O43" i="66"/>
  <c r="D468" i="49"/>
  <c r="E241" i="19"/>
  <c r="D176" i="49" l="1"/>
  <c r="D158" i="49"/>
  <c r="E27" i="19" s="1"/>
  <c r="E98" i="19"/>
  <c r="D234" i="49"/>
  <c r="D224" i="49"/>
  <c r="R58" i="66"/>
  <c r="Q58" i="66"/>
  <c r="P58" i="66"/>
  <c r="O58" i="66"/>
  <c r="D374" i="49"/>
  <c r="R42" i="66"/>
  <c r="Q42" i="66"/>
  <c r="P42" i="66"/>
  <c r="O42" i="66"/>
  <c r="R41" i="66"/>
  <c r="Q41" i="66"/>
  <c r="P41" i="66"/>
  <c r="O41" i="66"/>
  <c r="R40" i="66"/>
  <c r="Q40" i="66"/>
  <c r="P40" i="66"/>
  <c r="O40" i="66"/>
  <c r="R39" i="66"/>
  <c r="Q39" i="66"/>
  <c r="P39" i="66"/>
  <c r="O39" i="66"/>
  <c r="R38" i="66"/>
  <c r="Q38" i="66"/>
  <c r="P38" i="66"/>
  <c r="O38" i="66"/>
  <c r="R37" i="66"/>
  <c r="Q37" i="66"/>
  <c r="P37" i="66"/>
  <c r="O37" i="66"/>
  <c r="R36" i="66"/>
  <c r="Q36" i="66"/>
  <c r="P36" i="66"/>
  <c r="O36" i="66"/>
  <c r="R35" i="66"/>
  <c r="Q35" i="66"/>
  <c r="P35" i="66"/>
  <c r="O35" i="66"/>
  <c r="R34" i="66"/>
  <c r="Q34" i="66"/>
  <c r="P34" i="66"/>
  <c r="O34" i="66"/>
  <c r="R33" i="66"/>
  <c r="Q33" i="66"/>
  <c r="P33" i="66"/>
  <c r="O33" i="66"/>
  <c r="R32" i="66"/>
  <c r="Q32" i="66"/>
  <c r="P32" i="66"/>
  <c r="O32" i="66"/>
  <c r="R31" i="66"/>
  <c r="Q31" i="66"/>
  <c r="P31" i="66"/>
  <c r="O31" i="66"/>
  <c r="R73" i="66"/>
  <c r="Q73" i="66"/>
  <c r="P73" i="66"/>
  <c r="O73" i="66"/>
  <c r="R30" i="66"/>
  <c r="Q30" i="66"/>
  <c r="P30" i="66"/>
  <c r="O30" i="66"/>
  <c r="R72" i="66"/>
  <c r="D524" i="49" s="1"/>
  <c r="Q72" i="66"/>
  <c r="P72" i="66"/>
  <c r="O72" i="66"/>
  <c r="R29" i="66"/>
  <c r="Q29" i="66"/>
  <c r="P29" i="66"/>
  <c r="O29" i="66"/>
  <c r="R66" i="66"/>
  <c r="Q66" i="66"/>
  <c r="P66" i="66"/>
  <c r="O66" i="66"/>
  <c r="R28" i="66"/>
  <c r="Q28" i="66"/>
  <c r="P28" i="66"/>
  <c r="O28" i="66"/>
  <c r="R71" i="66"/>
  <c r="D541" i="49" s="1"/>
  <c r="Q71" i="66"/>
  <c r="P71" i="66"/>
  <c r="O71" i="66"/>
  <c r="R70" i="66"/>
  <c r="D528" i="49" s="1"/>
  <c r="Q70" i="66"/>
  <c r="P70" i="66"/>
  <c r="O70" i="66"/>
  <c r="R67" i="66"/>
  <c r="Q67" i="66"/>
  <c r="P67" i="66"/>
  <c r="O67" i="66"/>
  <c r="R27" i="66"/>
  <c r="Q27" i="66"/>
  <c r="P27" i="66"/>
  <c r="O27" i="66"/>
  <c r="R26" i="66"/>
  <c r="Q26" i="66"/>
  <c r="P26" i="66"/>
  <c r="O26" i="66"/>
  <c r="R64" i="66"/>
  <c r="Q64" i="66"/>
  <c r="P64" i="66"/>
  <c r="O64" i="66"/>
  <c r="R61" i="66"/>
  <c r="Q61" i="66"/>
  <c r="P61" i="66"/>
  <c r="O61" i="66"/>
  <c r="R62" i="66"/>
  <c r="Q62" i="66"/>
  <c r="P62" i="66"/>
  <c r="O62" i="66"/>
  <c r="R25" i="66"/>
  <c r="Q25" i="66"/>
  <c r="P25" i="66"/>
  <c r="O25" i="66"/>
  <c r="R24" i="66"/>
  <c r="Q24" i="66"/>
  <c r="P24" i="66"/>
  <c r="O24" i="66"/>
  <c r="R23" i="66"/>
  <c r="Q23" i="66"/>
  <c r="P23" i="66"/>
  <c r="O23" i="66"/>
  <c r="R22" i="66"/>
  <c r="Q22" i="66"/>
  <c r="P22" i="66"/>
  <c r="O22" i="66"/>
  <c r="R21" i="66"/>
  <c r="Q21" i="66"/>
  <c r="P21" i="66"/>
  <c r="O21" i="66"/>
  <c r="R65" i="66"/>
  <c r="Q65" i="66"/>
  <c r="P65" i="66"/>
  <c r="O65" i="66"/>
  <c r="R68" i="66"/>
  <c r="Q68" i="66"/>
  <c r="P68" i="66"/>
  <c r="O68" i="66"/>
  <c r="R20" i="66"/>
  <c r="Q20" i="66"/>
  <c r="P20" i="66"/>
  <c r="O20" i="66"/>
  <c r="R19" i="66"/>
  <c r="Q19" i="66"/>
  <c r="P19" i="66"/>
  <c r="O19" i="66"/>
  <c r="R18" i="66"/>
  <c r="Q18" i="66"/>
  <c r="P18" i="66"/>
  <c r="O18" i="66"/>
  <c r="R17" i="66"/>
  <c r="Q17" i="66"/>
  <c r="P17" i="66"/>
  <c r="O17" i="66"/>
  <c r="R16" i="66"/>
  <c r="Q16" i="66"/>
  <c r="P16" i="66"/>
  <c r="O16" i="66"/>
  <c r="R63" i="66"/>
  <c r="Q63" i="66"/>
  <c r="P63" i="66"/>
  <c r="O63" i="66"/>
  <c r="R15" i="66"/>
  <c r="Q15" i="66"/>
  <c r="P15" i="66"/>
  <c r="O15" i="66"/>
  <c r="R14" i="66"/>
  <c r="Q14" i="66"/>
  <c r="P14" i="66"/>
  <c r="O14" i="66"/>
  <c r="R13" i="66"/>
  <c r="Q13" i="66"/>
  <c r="P13" i="66"/>
  <c r="O13" i="66"/>
  <c r="R12" i="66"/>
  <c r="Q12" i="66"/>
  <c r="P12" i="66"/>
  <c r="O12" i="66"/>
  <c r="R11" i="66"/>
  <c r="Q11" i="66"/>
  <c r="P11" i="66"/>
  <c r="O11" i="66"/>
  <c r="R10" i="66"/>
  <c r="Q10" i="66"/>
  <c r="P10" i="66"/>
  <c r="O10" i="66"/>
  <c r="R9" i="66"/>
  <c r="Q9" i="66"/>
  <c r="P9" i="66"/>
  <c r="O9" i="66"/>
  <c r="R8" i="66"/>
  <c r="Q8" i="66"/>
  <c r="P8" i="66"/>
  <c r="O8" i="66"/>
  <c r="R7" i="66"/>
  <c r="Q7" i="66"/>
  <c r="P7" i="66"/>
  <c r="O7" i="66"/>
  <c r="R69" i="66"/>
  <c r="Q69" i="66"/>
  <c r="P69" i="66"/>
  <c r="O69" i="66"/>
  <c r="R60" i="66"/>
  <c r="Q60" i="66"/>
  <c r="P60" i="66"/>
  <c r="O60" i="66"/>
  <c r="R6" i="66"/>
  <c r="Q6" i="66"/>
  <c r="P6" i="66"/>
  <c r="O6" i="66"/>
  <c r="R5" i="66"/>
  <c r="Q5" i="66"/>
  <c r="P5" i="66"/>
  <c r="O5" i="66"/>
  <c r="R59" i="66"/>
  <c r="Q59" i="66"/>
  <c r="P59" i="66"/>
  <c r="O59" i="66"/>
  <c r="R4" i="66"/>
  <c r="Q4" i="66"/>
  <c r="P4" i="66"/>
  <c r="O4" i="66"/>
  <c r="R57" i="66"/>
  <c r="Q57" i="66"/>
  <c r="P57" i="66"/>
  <c r="O57" i="66"/>
  <c r="R3" i="66"/>
  <c r="Q3" i="66"/>
  <c r="P3" i="66"/>
  <c r="O3" i="66"/>
  <c r="R2" i="66"/>
  <c r="Q2" i="66"/>
  <c r="P2" i="66"/>
  <c r="O2" i="66"/>
  <c r="R1" i="66"/>
  <c r="Q1" i="66"/>
  <c r="P1" i="66"/>
  <c r="O1" i="66"/>
  <c r="R1356" i="65"/>
  <c r="Q1356" i="65"/>
  <c r="P1356" i="65"/>
  <c r="O1356" i="65"/>
  <c r="R1355" i="65"/>
  <c r="Q1355" i="65"/>
  <c r="P1355" i="65"/>
  <c r="O1355" i="65"/>
  <c r="R1354" i="65"/>
  <c r="Q1354" i="65"/>
  <c r="P1354" i="65"/>
  <c r="O1354" i="65"/>
  <c r="R1353" i="65"/>
  <c r="Q1353" i="65"/>
  <c r="P1353" i="65"/>
  <c r="O1353" i="65"/>
  <c r="R1352" i="65"/>
  <c r="Q1352" i="65"/>
  <c r="P1352" i="65"/>
  <c r="O1352" i="65"/>
  <c r="R1351" i="65"/>
  <c r="Q1351" i="65"/>
  <c r="P1351" i="65"/>
  <c r="O1351" i="65"/>
  <c r="R1350" i="65"/>
  <c r="Q1350" i="65"/>
  <c r="P1350" i="65"/>
  <c r="O1350" i="65"/>
  <c r="R1349" i="65"/>
  <c r="Q1349" i="65"/>
  <c r="P1349" i="65"/>
  <c r="O1349" i="65"/>
  <c r="R1348" i="65"/>
  <c r="Q1348" i="65"/>
  <c r="P1348" i="65"/>
  <c r="O1348" i="65"/>
  <c r="R1347" i="65"/>
  <c r="Q1347" i="65"/>
  <c r="P1347" i="65"/>
  <c r="O1347" i="65"/>
  <c r="R1346" i="65"/>
  <c r="Q1346" i="65"/>
  <c r="P1346" i="65"/>
  <c r="O1346" i="65"/>
  <c r="R1345" i="65"/>
  <c r="Q1345" i="65"/>
  <c r="P1345" i="65"/>
  <c r="O1345" i="65"/>
  <c r="R1344" i="65"/>
  <c r="Q1344" i="65"/>
  <c r="P1344" i="65"/>
  <c r="O1344" i="65"/>
  <c r="R1343" i="65"/>
  <c r="Q1343" i="65"/>
  <c r="P1343" i="65"/>
  <c r="O1343" i="65"/>
  <c r="R1342" i="65"/>
  <c r="Q1342" i="65"/>
  <c r="P1342" i="65"/>
  <c r="O1342" i="65"/>
  <c r="R1341" i="65"/>
  <c r="Q1341" i="65"/>
  <c r="P1341" i="65"/>
  <c r="O1341" i="65"/>
  <c r="R1340" i="65"/>
  <c r="Q1340" i="65"/>
  <c r="P1340" i="65"/>
  <c r="O1340" i="65"/>
  <c r="R1339" i="65"/>
  <c r="Q1339" i="65"/>
  <c r="P1339" i="65"/>
  <c r="O1339" i="65"/>
  <c r="R1338" i="65"/>
  <c r="Q1338" i="65"/>
  <c r="P1338" i="65"/>
  <c r="O1338" i="65"/>
  <c r="R1337" i="65"/>
  <c r="Q1337" i="65"/>
  <c r="P1337" i="65"/>
  <c r="O1337" i="65"/>
  <c r="R1336" i="65"/>
  <c r="Q1336" i="65"/>
  <c r="P1336" i="65"/>
  <c r="O1336" i="65"/>
  <c r="R1335" i="65"/>
  <c r="Q1335" i="65"/>
  <c r="P1335" i="65"/>
  <c r="O1335" i="65"/>
  <c r="R1334" i="65"/>
  <c r="Q1334" i="65"/>
  <c r="P1334" i="65"/>
  <c r="O1334" i="65"/>
  <c r="R1333" i="65"/>
  <c r="Q1333" i="65"/>
  <c r="P1333" i="65"/>
  <c r="O1333" i="65"/>
  <c r="R1332" i="65"/>
  <c r="Q1332" i="65"/>
  <c r="P1332" i="65"/>
  <c r="O1332" i="65"/>
  <c r="R1331" i="65"/>
  <c r="Q1331" i="65"/>
  <c r="P1331" i="65"/>
  <c r="O1331" i="65"/>
  <c r="R1330" i="65"/>
  <c r="Q1330" i="65"/>
  <c r="P1330" i="65"/>
  <c r="O1330" i="65"/>
  <c r="R1329" i="65"/>
  <c r="Q1329" i="65"/>
  <c r="P1329" i="65"/>
  <c r="O1329" i="65"/>
  <c r="R1328" i="65"/>
  <c r="Q1328" i="65"/>
  <c r="P1328" i="65"/>
  <c r="O1328" i="65"/>
  <c r="R1327" i="65"/>
  <c r="Q1327" i="65"/>
  <c r="P1327" i="65"/>
  <c r="O1327" i="65"/>
  <c r="R1326" i="65"/>
  <c r="Q1326" i="65"/>
  <c r="P1326" i="65"/>
  <c r="O1326" i="65"/>
  <c r="R1325" i="65"/>
  <c r="Q1325" i="65"/>
  <c r="P1325" i="65"/>
  <c r="O1325" i="65"/>
  <c r="R1324" i="65"/>
  <c r="Q1324" i="65"/>
  <c r="P1324" i="65"/>
  <c r="O1324" i="65"/>
  <c r="R1323" i="65"/>
  <c r="Q1323" i="65"/>
  <c r="P1323" i="65"/>
  <c r="O1323" i="65"/>
  <c r="R1322" i="65"/>
  <c r="Q1322" i="65"/>
  <c r="P1322" i="65"/>
  <c r="O1322" i="65"/>
  <c r="R1321" i="65"/>
  <c r="Q1321" i="65"/>
  <c r="P1321" i="65"/>
  <c r="O1321" i="65"/>
  <c r="R1320" i="65"/>
  <c r="Q1320" i="65"/>
  <c r="P1320" i="65"/>
  <c r="O1320" i="65"/>
  <c r="R1319" i="65"/>
  <c r="Q1319" i="65"/>
  <c r="P1319" i="65"/>
  <c r="O1319" i="65"/>
  <c r="R1318" i="65"/>
  <c r="Q1318" i="65"/>
  <c r="P1318" i="65"/>
  <c r="O1318" i="65"/>
  <c r="R1317" i="65"/>
  <c r="Q1317" i="65"/>
  <c r="P1317" i="65"/>
  <c r="O1317" i="65"/>
  <c r="R1316" i="65"/>
  <c r="Q1316" i="65"/>
  <c r="P1316" i="65"/>
  <c r="O1316" i="65"/>
  <c r="R1315" i="65"/>
  <c r="Q1315" i="65"/>
  <c r="P1315" i="65"/>
  <c r="O1315" i="65"/>
  <c r="R1314" i="65"/>
  <c r="Q1314" i="65"/>
  <c r="P1314" i="65"/>
  <c r="O1314" i="65"/>
  <c r="R1313" i="65"/>
  <c r="Q1313" i="65"/>
  <c r="P1313" i="65"/>
  <c r="O1313" i="65"/>
  <c r="R1312" i="65"/>
  <c r="Q1312" i="65"/>
  <c r="P1312" i="65"/>
  <c r="O1312" i="65"/>
  <c r="R1311" i="65"/>
  <c r="Q1311" i="65"/>
  <c r="P1311" i="65"/>
  <c r="O1311" i="65"/>
  <c r="R1310" i="65"/>
  <c r="Q1310" i="65"/>
  <c r="P1310" i="65"/>
  <c r="O1310" i="65"/>
  <c r="R1309" i="65"/>
  <c r="Q1309" i="65"/>
  <c r="P1309" i="65"/>
  <c r="O1309" i="65"/>
  <c r="R1308" i="65"/>
  <c r="Q1308" i="65"/>
  <c r="P1308" i="65"/>
  <c r="O1308" i="65"/>
  <c r="R1307" i="65"/>
  <c r="Q1307" i="65"/>
  <c r="P1307" i="65"/>
  <c r="O1307" i="65"/>
  <c r="R1306" i="65"/>
  <c r="Q1306" i="65"/>
  <c r="P1306" i="65"/>
  <c r="O1306" i="65"/>
  <c r="R1305" i="65"/>
  <c r="Q1305" i="65"/>
  <c r="P1305" i="65"/>
  <c r="O1305" i="65"/>
  <c r="R1304" i="65"/>
  <c r="Q1304" i="65"/>
  <c r="P1304" i="65"/>
  <c r="O1304" i="65"/>
  <c r="R1303" i="65"/>
  <c r="Q1303" i="65"/>
  <c r="P1303" i="65"/>
  <c r="O1303" i="65"/>
  <c r="R1302" i="65"/>
  <c r="Q1302" i="65"/>
  <c r="P1302" i="65"/>
  <c r="O1302" i="65"/>
  <c r="R1301" i="65"/>
  <c r="Q1301" i="65"/>
  <c r="P1301" i="65"/>
  <c r="O1301" i="65"/>
  <c r="R1300" i="65"/>
  <c r="Q1300" i="65"/>
  <c r="P1300" i="65"/>
  <c r="O1300" i="65"/>
  <c r="R1299" i="65"/>
  <c r="Q1299" i="65"/>
  <c r="P1299" i="65"/>
  <c r="O1299" i="65"/>
  <c r="R1298" i="65"/>
  <c r="Q1298" i="65"/>
  <c r="P1298" i="65"/>
  <c r="O1298" i="65"/>
  <c r="R1297" i="65"/>
  <c r="Q1297" i="65"/>
  <c r="P1297" i="65"/>
  <c r="O1297" i="65"/>
  <c r="R1296" i="65"/>
  <c r="Q1296" i="65"/>
  <c r="P1296" i="65"/>
  <c r="O1296" i="65"/>
  <c r="R1295" i="65"/>
  <c r="Q1295" i="65"/>
  <c r="P1295" i="65"/>
  <c r="O1295" i="65"/>
  <c r="R1294" i="65"/>
  <c r="Q1294" i="65"/>
  <c r="P1294" i="65"/>
  <c r="O1294" i="65"/>
  <c r="R1293" i="65"/>
  <c r="Q1293" i="65"/>
  <c r="P1293" i="65"/>
  <c r="O1293" i="65"/>
  <c r="R1292" i="65"/>
  <c r="Q1292" i="65"/>
  <c r="P1292" i="65"/>
  <c r="O1292" i="65"/>
  <c r="R1291" i="65"/>
  <c r="Q1291" i="65"/>
  <c r="P1291" i="65"/>
  <c r="O1291" i="65"/>
  <c r="R1290" i="65"/>
  <c r="Q1290" i="65"/>
  <c r="P1290" i="65"/>
  <c r="O1290" i="65"/>
  <c r="R1289" i="65"/>
  <c r="Q1289" i="65"/>
  <c r="P1289" i="65"/>
  <c r="O1289" i="65"/>
  <c r="R1288" i="65"/>
  <c r="Q1288" i="65"/>
  <c r="P1288" i="65"/>
  <c r="O1288" i="65"/>
  <c r="R1287" i="65"/>
  <c r="Q1287" i="65"/>
  <c r="P1287" i="65"/>
  <c r="O1287" i="65"/>
  <c r="D363" i="49"/>
  <c r="D362" i="49"/>
  <c r="D358" i="49"/>
  <c r="D205" i="49"/>
  <c r="D202" i="49"/>
  <c r="D199" i="49"/>
  <c r="D177" i="49"/>
  <c r="D55" i="49"/>
  <c r="R1286" i="65"/>
  <c r="Q1286" i="65"/>
  <c r="P1286" i="65"/>
  <c r="O1286" i="65"/>
  <c r="R1285" i="65"/>
  <c r="Q1285" i="65"/>
  <c r="P1285" i="65"/>
  <c r="O1285" i="65"/>
  <c r="R1284" i="65"/>
  <c r="Q1284" i="65"/>
  <c r="P1284" i="65"/>
  <c r="O1284" i="65"/>
  <c r="R1283" i="65"/>
  <c r="Q1283" i="65"/>
  <c r="P1283" i="65"/>
  <c r="O1283" i="65"/>
  <c r="R1282" i="65"/>
  <c r="Q1282" i="65"/>
  <c r="P1282" i="65"/>
  <c r="O1282" i="65"/>
  <c r="R1281" i="65"/>
  <c r="Q1281" i="65"/>
  <c r="P1281" i="65"/>
  <c r="O1281" i="65"/>
  <c r="R1280" i="65"/>
  <c r="Q1280" i="65"/>
  <c r="P1280" i="65"/>
  <c r="O1280" i="65"/>
  <c r="R1279" i="65"/>
  <c r="Q1279" i="65"/>
  <c r="P1279" i="65"/>
  <c r="O1279" i="65"/>
  <c r="R1278" i="65"/>
  <c r="Q1278" i="65"/>
  <c r="P1278" i="65"/>
  <c r="O1278" i="65"/>
  <c r="R1275" i="65"/>
  <c r="Q1275" i="65"/>
  <c r="P1275" i="65"/>
  <c r="O1275" i="65"/>
  <c r="R1274" i="65"/>
  <c r="Q1274" i="65"/>
  <c r="P1274" i="65"/>
  <c r="O1274" i="65"/>
  <c r="R1273" i="65"/>
  <c r="Q1273" i="65"/>
  <c r="P1273" i="65"/>
  <c r="O1273" i="65"/>
  <c r="R1272" i="65"/>
  <c r="Q1272" i="65"/>
  <c r="P1272" i="65"/>
  <c r="O1272" i="65"/>
  <c r="R1271" i="65"/>
  <c r="Q1271" i="65"/>
  <c r="P1271" i="65"/>
  <c r="O1271" i="65"/>
  <c r="R1270" i="65"/>
  <c r="Q1270" i="65"/>
  <c r="P1270" i="65"/>
  <c r="O1270" i="65"/>
  <c r="R1269" i="65"/>
  <c r="Q1269" i="65"/>
  <c r="P1269" i="65"/>
  <c r="O1269" i="65"/>
  <c r="R1268" i="65"/>
  <c r="Q1268" i="65"/>
  <c r="P1268" i="65"/>
  <c r="O1268" i="65"/>
  <c r="R1267" i="65"/>
  <c r="Q1267" i="65"/>
  <c r="P1267" i="65"/>
  <c r="O1267" i="65"/>
  <c r="R1266" i="65"/>
  <c r="Q1266" i="65"/>
  <c r="P1266" i="65"/>
  <c r="O1266" i="65"/>
  <c r="R1265" i="65"/>
  <c r="D198" i="49" s="1"/>
  <c r="Q1265" i="65"/>
  <c r="P1265" i="65"/>
  <c r="O1265" i="65"/>
  <c r="R1264" i="65"/>
  <c r="Q1264" i="65"/>
  <c r="P1264" i="65"/>
  <c r="O1264" i="65"/>
  <c r="R1263" i="65"/>
  <c r="Q1263" i="65"/>
  <c r="P1263" i="65"/>
  <c r="O1263" i="65"/>
  <c r="R1262" i="65"/>
  <c r="Q1262" i="65"/>
  <c r="P1262" i="65"/>
  <c r="O1262" i="65"/>
  <c r="R1261" i="65"/>
  <c r="Q1261" i="65"/>
  <c r="P1261" i="65"/>
  <c r="O1261" i="65"/>
  <c r="R1260" i="65"/>
  <c r="Q1260" i="65"/>
  <c r="P1260" i="65"/>
  <c r="O1260" i="65"/>
  <c r="R1259" i="65"/>
  <c r="Q1259" i="65"/>
  <c r="P1259" i="65"/>
  <c r="O1259" i="65"/>
  <c r="R1258" i="65"/>
  <c r="Q1258" i="65"/>
  <c r="P1258" i="65"/>
  <c r="O1258" i="65"/>
  <c r="R1257" i="65"/>
  <c r="Q1257" i="65"/>
  <c r="P1257" i="65"/>
  <c r="O1257" i="65"/>
  <c r="R1253" i="65"/>
  <c r="Q1253" i="65"/>
  <c r="P1253" i="65"/>
  <c r="O1253" i="65"/>
  <c r="R1252" i="65"/>
  <c r="Q1252" i="65"/>
  <c r="P1252" i="65"/>
  <c r="O1252" i="65"/>
  <c r="R1251" i="65"/>
  <c r="Q1251" i="65"/>
  <c r="P1251" i="65"/>
  <c r="O1251" i="65"/>
  <c r="R1250" i="65"/>
  <c r="Q1250" i="65"/>
  <c r="P1250" i="65"/>
  <c r="O1250" i="65"/>
  <c r="R1249" i="65"/>
  <c r="Q1249" i="65"/>
  <c r="P1249" i="65"/>
  <c r="O1249" i="65"/>
  <c r="R1248" i="65"/>
  <c r="Q1248" i="65"/>
  <c r="P1248" i="65"/>
  <c r="O1248" i="65"/>
  <c r="R1247" i="65"/>
  <c r="Q1247" i="65"/>
  <c r="P1247" i="65"/>
  <c r="O1247" i="65"/>
  <c r="R1246" i="65"/>
  <c r="Q1246" i="65"/>
  <c r="P1246" i="65"/>
  <c r="O1246" i="65"/>
  <c r="R1245" i="65"/>
  <c r="Q1245" i="65"/>
  <c r="P1245" i="65"/>
  <c r="O1245" i="65"/>
  <c r="R1244" i="65"/>
  <c r="Q1244" i="65"/>
  <c r="P1244" i="65"/>
  <c r="O1244" i="65"/>
  <c r="R1243" i="65"/>
  <c r="Q1243" i="65"/>
  <c r="P1243" i="65"/>
  <c r="O1243" i="65"/>
  <c r="R1242" i="65"/>
  <c r="Q1242" i="65"/>
  <c r="P1242" i="65"/>
  <c r="O1242" i="65"/>
  <c r="R1241" i="65"/>
  <c r="Q1241" i="65"/>
  <c r="P1241" i="65"/>
  <c r="O1241" i="65"/>
  <c r="R1240" i="65"/>
  <c r="Q1240" i="65"/>
  <c r="P1240" i="65"/>
  <c r="O1240" i="65"/>
  <c r="R1239" i="65"/>
  <c r="Q1239" i="65"/>
  <c r="P1239" i="65"/>
  <c r="O1239" i="65"/>
  <c r="R1238" i="65"/>
  <c r="Q1238" i="65"/>
  <c r="P1238" i="65"/>
  <c r="O1238" i="65"/>
  <c r="R1237" i="65"/>
  <c r="Q1237" i="65"/>
  <c r="P1237" i="65"/>
  <c r="O1237" i="65"/>
  <c r="R1236" i="65"/>
  <c r="Q1236" i="65"/>
  <c r="P1236" i="65"/>
  <c r="O1236" i="65"/>
  <c r="R1235" i="65"/>
  <c r="Q1235" i="65"/>
  <c r="P1235" i="65"/>
  <c r="O1235" i="65"/>
  <c r="R1234" i="65"/>
  <c r="Q1234" i="65"/>
  <c r="P1234" i="65"/>
  <c r="O1234" i="65"/>
  <c r="R1233" i="65"/>
  <c r="Q1233" i="65"/>
  <c r="P1233" i="65"/>
  <c r="O1233" i="65"/>
  <c r="R1232" i="65"/>
  <c r="Q1232" i="65"/>
  <c r="P1232" i="65"/>
  <c r="O1232" i="65"/>
  <c r="R1231" i="65"/>
  <c r="Q1231" i="65"/>
  <c r="P1231" i="65"/>
  <c r="O1231" i="65"/>
  <c r="R1230" i="65"/>
  <c r="Q1230" i="65"/>
  <c r="P1230" i="65"/>
  <c r="O1230" i="65"/>
  <c r="R1229" i="65"/>
  <c r="Q1229" i="65"/>
  <c r="P1229" i="65"/>
  <c r="O1229" i="65"/>
  <c r="R1228" i="65"/>
  <c r="Q1228" i="65"/>
  <c r="P1228" i="65"/>
  <c r="O1228" i="65"/>
  <c r="R1227" i="65"/>
  <c r="Q1227" i="65"/>
  <c r="P1227" i="65"/>
  <c r="O1227" i="65"/>
  <c r="R1226" i="65"/>
  <c r="Q1226" i="65"/>
  <c r="P1226" i="65"/>
  <c r="O1226" i="65"/>
  <c r="R1225" i="65"/>
  <c r="Q1225" i="65"/>
  <c r="P1225" i="65"/>
  <c r="O1225" i="65"/>
  <c r="R1224" i="65"/>
  <c r="Q1224" i="65"/>
  <c r="P1224" i="65"/>
  <c r="O1224" i="65"/>
  <c r="R1223" i="65"/>
  <c r="Q1223" i="65"/>
  <c r="P1223" i="65"/>
  <c r="O1223" i="65"/>
  <c r="R1222" i="65"/>
  <c r="Q1222" i="65"/>
  <c r="P1222" i="65"/>
  <c r="O1222" i="65"/>
  <c r="R1221" i="65"/>
  <c r="Q1221" i="65"/>
  <c r="P1221" i="65"/>
  <c r="O1221" i="65"/>
  <c r="R1220" i="65"/>
  <c r="Q1220" i="65"/>
  <c r="P1220" i="65"/>
  <c r="O1220" i="65"/>
  <c r="R1219" i="65"/>
  <c r="Q1219" i="65"/>
  <c r="P1219" i="65"/>
  <c r="O1219" i="65"/>
  <c r="R1218" i="65"/>
  <c r="Q1218" i="65"/>
  <c r="P1218" i="65"/>
  <c r="O1218" i="65"/>
  <c r="R1217" i="65"/>
  <c r="Q1217" i="65"/>
  <c r="P1217" i="65"/>
  <c r="O1217" i="65"/>
  <c r="R1216" i="65"/>
  <c r="Q1216" i="65"/>
  <c r="P1216" i="65"/>
  <c r="O1216" i="65"/>
  <c r="R1215" i="65"/>
  <c r="Q1215" i="65"/>
  <c r="P1215" i="65"/>
  <c r="O1215" i="65"/>
  <c r="R1214" i="65"/>
  <c r="Q1214" i="65"/>
  <c r="P1214" i="65"/>
  <c r="O1214" i="65"/>
  <c r="R1213" i="65"/>
  <c r="Q1213" i="65"/>
  <c r="P1213" i="65"/>
  <c r="O1213" i="65"/>
  <c r="R1212" i="65"/>
  <c r="Q1212" i="65"/>
  <c r="P1212" i="65"/>
  <c r="O1212" i="65"/>
  <c r="R1211" i="65"/>
  <c r="Q1211" i="65"/>
  <c r="P1211" i="65"/>
  <c r="O1211" i="65"/>
  <c r="R1210" i="65"/>
  <c r="Q1210" i="65"/>
  <c r="P1210" i="65"/>
  <c r="O1210" i="65"/>
  <c r="R1209" i="65"/>
  <c r="Q1209" i="65"/>
  <c r="P1209" i="65"/>
  <c r="O1209" i="65"/>
  <c r="R1208" i="65"/>
  <c r="Q1208" i="65"/>
  <c r="P1208" i="65"/>
  <c r="O1208" i="65"/>
  <c r="R1207" i="65"/>
  <c r="Q1207" i="65"/>
  <c r="P1207" i="65"/>
  <c r="O1207" i="65"/>
  <c r="R1206" i="65"/>
  <c r="Q1206" i="65"/>
  <c r="P1206" i="65"/>
  <c r="O1206" i="65"/>
  <c r="R1205" i="65"/>
  <c r="Q1205" i="65"/>
  <c r="P1205" i="65"/>
  <c r="O1205" i="65"/>
  <c r="R1204" i="65"/>
  <c r="Q1204" i="65"/>
  <c r="P1204" i="65"/>
  <c r="O1204" i="65"/>
  <c r="R1203" i="65"/>
  <c r="Q1203" i="65"/>
  <c r="P1203" i="65"/>
  <c r="O1203" i="65"/>
  <c r="R1202" i="65"/>
  <c r="Q1202" i="65"/>
  <c r="P1202" i="65"/>
  <c r="O1202" i="65"/>
  <c r="R1201" i="65"/>
  <c r="Q1201" i="65"/>
  <c r="P1201" i="65"/>
  <c r="O1201" i="65"/>
  <c r="R1200" i="65"/>
  <c r="Q1200" i="65"/>
  <c r="P1200" i="65"/>
  <c r="O1200" i="65"/>
  <c r="R1199" i="65"/>
  <c r="Q1199" i="65"/>
  <c r="P1199" i="65"/>
  <c r="O1199" i="65"/>
  <c r="R1198" i="65"/>
  <c r="Q1198" i="65"/>
  <c r="P1198" i="65"/>
  <c r="O1198" i="65"/>
  <c r="R1197" i="65"/>
  <c r="Q1197" i="65"/>
  <c r="P1197" i="65"/>
  <c r="O1197" i="65"/>
  <c r="R1196" i="65"/>
  <c r="Q1196" i="65"/>
  <c r="P1196" i="65"/>
  <c r="O1196" i="65"/>
  <c r="R1195" i="65"/>
  <c r="Q1195" i="65"/>
  <c r="P1195" i="65"/>
  <c r="O1195" i="65"/>
  <c r="R1194" i="65"/>
  <c r="Q1194" i="65"/>
  <c r="P1194" i="65"/>
  <c r="O1194" i="65"/>
  <c r="R1193" i="65"/>
  <c r="Q1193" i="65"/>
  <c r="P1193" i="65"/>
  <c r="O1193" i="65"/>
  <c r="R1192" i="65"/>
  <c r="Q1192" i="65"/>
  <c r="P1192" i="65"/>
  <c r="O1192" i="65"/>
  <c r="R1191" i="65"/>
  <c r="Q1191" i="65"/>
  <c r="P1191" i="65"/>
  <c r="O1191" i="65"/>
  <c r="R1190" i="65"/>
  <c r="Q1190" i="65"/>
  <c r="P1190" i="65"/>
  <c r="O1190" i="65"/>
  <c r="R1189" i="65"/>
  <c r="Q1189" i="65"/>
  <c r="P1189" i="65"/>
  <c r="O1189" i="65"/>
  <c r="R1188" i="65"/>
  <c r="Q1188" i="65"/>
  <c r="P1188" i="65"/>
  <c r="O1188" i="65"/>
  <c r="R1187" i="65"/>
  <c r="Q1187" i="65"/>
  <c r="P1187" i="65"/>
  <c r="O1187" i="65"/>
  <c r="R1186" i="65"/>
  <c r="Q1186" i="65"/>
  <c r="P1186" i="65"/>
  <c r="O1186" i="65"/>
  <c r="R1185" i="65"/>
  <c r="Q1185" i="65"/>
  <c r="P1185" i="65"/>
  <c r="O1185" i="65"/>
  <c r="R1184" i="65"/>
  <c r="Q1184" i="65"/>
  <c r="P1184" i="65"/>
  <c r="O1184" i="65"/>
  <c r="R1183" i="65"/>
  <c r="Q1183" i="65"/>
  <c r="P1183" i="65"/>
  <c r="O1183" i="65"/>
  <c r="R1182" i="65"/>
  <c r="Q1182" i="65"/>
  <c r="P1182" i="65"/>
  <c r="O1182" i="65"/>
  <c r="R1181" i="65"/>
  <c r="Q1181" i="65"/>
  <c r="P1181" i="65"/>
  <c r="O1181" i="65"/>
  <c r="R1180" i="65"/>
  <c r="Q1180" i="65"/>
  <c r="P1180" i="65"/>
  <c r="O1180" i="65"/>
  <c r="R1179" i="65"/>
  <c r="Q1179" i="65"/>
  <c r="P1179" i="65"/>
  <c r="O1179" i="65"/>
  <c r="R1178" i="65"/>
  <c r="Q1178" i="65"/>
  <c r="P1178" i="65"/>
  <c r="O1178" i="65"/>
  <c r="R1177" i="65"/>
  <c r="Q1177" i="65"/>
  <c r="P1177" i="65"/>
  <c r="O1177" i="65"/>
  <c r="R1176" i="65"/>
  <c r="Q1176" i="65"/>
  <c r="P1176" i="65"/>
  <c r="O1176" i="65"/>
  <c r="R1175" i="65"/>
  <c r="Q1175" i="65"/>
  <c r="P1175" i="65"/>
  <c r="O1175" i="65"/>
  <c r="R1174" i="65"/>
  <c r="Q1174" i="65"/>
  <c r="P1174" i="65"/>
  <c r="O1174" i="65"/>
  <c r="R1173" i="65"/>
  <c r="Q1173" i="65"/>
  <c r="P1173" i="65"/>
  <c r="O1173" i="65"/>
  <c r="R1172" i="65"/>
  <c r="Q1172" i="65"/>
  <c r="P1172" i="65"/>
  <c r="O1172" i="65"/>
  <c r="R1171" i="65"/>
  <c r="Q1171" i="65"/>
  <c r="P1171" i="65"/>
  <c r="O1171" i="65"/>
  <c r="R1170" i="65"/>
  <c r="Q1170" i="65"/>
  <c r="P1170" i="65"/>
  <c r="O1170" i="65"/>
  <c r="R1169" i="65"/>
  <c r="Q1169" i="65"/>
  <c r="P1169" i="65"/>
  <c r="O1169" i="65"/>
  <c r="R1168" i="65"/>
  <c r="Q1168" i="65"/>
  <c r="P1168" i="65"/>
  <c r="O1168" i="65"/>
  <c r="R1167" i="65"/>
  <c r="Q1167" i="65"/>
  <c r="P1167" i="65"/>
  <c r="O1167" i="65"/>
  <c r="R1166" i="65"/>
  <c r="Q1166" i="65"/>
  <c r="P1166" i="65"/>
  <c r="O1166" i="65"/>
  <c r="R1165" i="65"/>
  <c r="Q1165" i="65"/>
  <c r="P1165" i="65"/>
  <c r="O1165" i="65"/>
  <c r="R1164" i="65"/>
  <c r="Q1164" i="65"/>
  <c r="P1164" i="65"/>
  <c r="O1164" i="65"/>
  <c r="R1163" i="65"/>
  <c r="Q1163" i="65"/>
  <c r="P1163" i="65"/>
  <c r="O1163" i="65"/>
  <c r="R1162" i="65"/>
  <c r="Q1162" i="65"/>
  <c r="P1162" i="65"/>
  <c r="O1162" i="65"/>
  <c r="R1161" i="65"/>
  <c r="Q1161" i="65"/>
  <c r="P1161" i="65"/>
  <c r="O1161" i="65"/>
  <c r="R1160" i="65"/>
  <c r="Q1160" i="65"/>
  <c r="P1160" i="65"/>
  <c r="O1160" i="65"/>
  <c r="R1159" i="65"/>
  <c r="Q1159" i="65"/>
  <c r="P1159" i="65"/>
  <c r="O1159" i="65"/>
  <c r="R1158" i="65"/>
  <c r="Q1158" i="65"/>
  <c r="P1158" i="65"/>
  <c r="O1158" i="65"/>
  <c r="R1157" i="65"/>
  <c r="Q1157" i="65"/>
  <c r="P1157" i="65"/>
  <c r="O1157" i="65"/>
  <c r="R1156" i="65"/>
  <c r="Q1156" i="65"/>
  <c r="P1156" i="65"/>
  <c r="O1156" i="65"/>
  <c r="R1155" i="65"/>
  <c r="Q1155" i="65"/>
  <c r="P1155" i="65"/>
  <c r="O1155" i="65"/>
  <c r="R1154" i="65"/>
  <c r="Q1154" i="65"/>
  <c r="P1154" i="65"/>
  <c r="O1154" i="65"/>
  <c r="R1153" i="65"/>
  <c r="Q1153" i="65"/>
  <c r="P1153" i="65"/>
  <c r="O1153" i="65"/>
  <c r="R1152" i="65"/>
  <c r="Q1152" i="65"/>
  <c r="P1152" i="65"/>
  <c r="O1152" i="65"/>
  <c r="R1151" i="65"/>
  <c r="Q1151" i="65"/>
  <c r="P1151" i="65"/>
  <c r="O1151" i="65"/>
  <c r="R1150" i="65"/>
  <c r="Q1150" i="65"/>
  <c r="P1150" i="65"/>
  <c r="O1150" i="65"/>
  <c r="R1149" i="65"/>
  <c r="Q1149" i="65"/>
  <c r="P1149" i="65"/>
  <c r="O1149" i="65"/>
  <c r="R1148" i="65"/>
  <c r="Q1148" i="65"/>
  <c r="P1148" i="65"/>
  <c r="O1148" i="65"/>
  <c r="R1147" i="65"/>
  <c r="Q1147" i="65"/>
  <c r="P1147" i="65"/>
  <c r="O1147" i="65"/>
  <c r="R1146" i="65"/>
  <c r="Q1146" i="65"/>
  <c r="P1146" i="65"/>
  <c r="O1146" i="65"/>
  <c r="R1145" i="65"/>
  <c r="Q1145" i="65"/>
  <c r="P1145" i="65"/>
  <c r="O1145" i="65"/>
  <c r="R1144" i="65"/>
  <c r="Q1144" i="65"/>
  <c r="P1144" i="65"/>
  <c r="O1144" i="65"/>
  <c r="R1143" i="65"/>
  <c r="Q1143" i="65"/>
  <c r="P1143" i="65"/>
  <c r="O1143" i="65"/>
  <c r="R1142" i="65"/>
  <c r="Q1142" i="65"/>
  <c r="P1142" i="65"/>
  <c r="O1142" i="65"/>
  <c r="R1141" i="65"/>
  <c r="Q1141" i="65"/>
  <c r="P1141" i="65"/>
  <c r="O1141" i="65"/>
  <c r="R1140" i="65"/>
  <c r="Q1140" i="65"/>
  <c r="P1140" i="65"/>
  <c r="O1140" i="65"/>
  <c r="R1139" i="65"/>
  <c r="Q1139" i="65"/>
  <c r="P1139" i="65"/>
  <c r="O1139" i="65"/>
  <c r="R1138" i="65"/>
  <c r="Q1138" i="65"/>
  <c r="P1138" i="65"/>
  <c r="O1138" i="65"/>
  <c r="R1137" i="65"/>
  <c r="Q1137" i="65"/>
  <c r="P1137" i="65"/>
  <c r="O1137" i="65"/>
  <c r="R1136" i="65"/>
  <c r="Q1136" i="65"/>
  <c r="P1136" i="65"/>
  <c r="O1136" i="65"/>
  <c r="R1135" i="65"/>
  <c r="Q1135" i="65"/>
  <c r="P1135" i="65"/>
  <c r="O1135" i="65"/>
  <c r="R1134" i="65"/>
  <c r="Q1134" i="65"/>
  <c r="P1134" i="65"/>
  <c r="O1134" i="65"/>
  <c r="R1133" i="65"/>
  <c r="Q1133" i="65"/>
  <c r="P1133" i="65"/>
  <c r="O1133" i="65"/>
  <c r="R1132" i="65"/>
  <c r="Q1132" i="65"/>
  <c r="P1132" i="65"/>
  <c r="O1132" i="65"/>
  <c r="R1131" i="65"/>
  <c r="Q1131" i="65"/>
  <c r="P1131" i="65"/>
  <c r="O1131" i="65"/>
  <c r="R1130" i="65"/>
  <c r="Q1130" i="65"/>
  <c r="P1130" i="65"/>
  <c r="O1130" i="65"/>
  <c r="R1129" i="65"/>
  <c r="Q1129" i="65"/>
  <c r="P1129" i="65"/>
  <c r="O1129" i="65"/>
  <c r="R1128" i="65"/>
  <c r="Q1128" i="65"/>
  <c r="P1128" i="65"/>
  <c r="O1128" i="65"/>
  <c r="R1127" i="65"/>
  <c r="Q1127" i="65"/>
  <c r="P1127" i="65"/>
  <c r="O1127" i="65"/>
  <c r="R1126" i="65"/>
  <c r="Q1126" i="65"/>
  <c r="P1126" i="65"/>
  <c r="O1126" i="65"/>
  <c r="R1125" i="65"/>
  <c r="Q1125" i="65"/>
  <c r="P1125" i="65"/>
  <c r="O1125" i="65"/>
  <c r="R1124" i="65"/>
  <c r="Q1124" i="65"/>
  <c r="P1124" i="65"/>
  <c r="O1124" i="65"/>
  <c r="R1123" i="65"/>
  <c r="Q1123" i="65"/>
  <c r="P1123" i="65"/>
  <c r="O1123" i="65"/>
  <c r="R1122" i="65"/>
  <c r="Q1122" i="65"/>
  <c r="P1122" i="65"/>
  <c r="O1122" i="65"/>
  <c r="R1121" i="65"/>
  <c r="Q1121" i="65"/>
  <c r="P1121" i="65"/>
  <c r="O1121" i="65"/>
  <c r="R1120" i="65"/>
  <c r="Q1120" i="65"/>
  <c r="P1120" i="65"/>
  <c r="O1120" i="65"/>
  <c r="R1119" i="65"/>
  <c r="Q1119" i="65"/>
  <c r="P1119" i="65"/>
  <c r="O1119" i="65"/>
  <c r="R1118" i="65"/>
  <c r="Q1118" i="65"/>
  <c r="P1118" i="65"/>
  <c r="O1118" i="65"/>
  <c r="R1117" i="65"/>
  <c r="Q1117" i="65"/>
  <c r="P1117" i="65"/>
  <c r="O1117" i="65"/>
  <c r="R1116" i="65"/>
  <c r="Q1116" i="65"/>
  <c r="P1116" i="65"/>
  <c r="O1116" i="65"/>
  <c r="R1115" i="65"/>
  <c r="Q1115" i="65"/>
  <c r="P1115" i="65"/>
  <c r="O1115" i="65"/>
  <c r="R1114" i="65"/>
  <c r="Q1114" i="65"/>
  <c r="P1114" i="65"/>
  <c r="O1114" i="65"/>
  <c r="R1113" i="65"/>
  <c r="Q1113" i="65"/>
  <c r="P1113" i="65"/>
  <c r="O1113" i="65"/>
  <c r="R1112" i="65"/>
  <c r="Q1112" i="65"/>
  <c r="P1112" i="65"/>
  <c r="O1112" i="65"/>
  <c r="R1111" i="65"/>
  <c r="Q1111" i="65"/>
  <c r="P1111" i="65"/>
  <c r="O1111" i="65"/>
  <c r="R1110" i="65"/>
  <c r="Q1110" i="65"/>
  <c r="P1110" i="65"/>
  <c r="O1110" i="65"/>
  <c r="R1109" i="65"/>
  <c r="Q1109" i="65"/>
  <c r="P1109" i="65"/>
  <c r="O1109" i="65"/>
  <c r="R1108" i="65"/>
  <c r="Q1108" i="65"/>
  <c r="P1108" i="65"/>
  <c r="O1108" i="65"/>
  <c r="R1107" i="65"/>
  <c r="Q1107" i="65"/>
  <c r="P1107" i="65"/>
  <c r="O1107" i="65"/>
  <c r="R1106" i="65"/>
  <c r="Q1106" i="65"/>
  <c r="P1106" i="65"/>
  <c r="O1106" i="65"/>
  <c r="R1105" i="65"/>
  <c r="Q1105" i="65"/>
  <c r="P1105" i="65"/>
  <c r="O1105" i="65"/>
  <c r="R1104" i="65"/>
  <c r="Q1104" i="65"/>
  <c r="P1104" i="65"/>
  <c r="O1104" i="65"/>
  <c r="R1103" i="65"/>
  <c r="Q1103" i="65"/>
  <c r="P1103" i="65"/>
  <c r="O1103" i="65"/>
  <c r="R1102" i="65"/>
  <c r="Q1102" i="65"/>
  <c r="P1102" i="65"/>
  <c r="O1102" i="65"/>
  <c r="R1101" i="65"/>
  <c r="Q1101" i="65"/>
  <c r="P1101" i="65"/>
  <c r="O1101" i="65"/>
  <c r="R1100" i="65"/>
  <c r="Q1100" i="65"/>
  <c r="P1100" i="65"/>
  <c r="O1100" i="65"/>
  <c r="R1099" i="65"/>
  <c r="Q1099" i="65"/>
  <c r="P1099" i="65"/>
  <c r="O1099" i="65"/>
  <c r="R1098" i="65"/>
  <c r="Q1098" i="65"/>
  <c r="P1098" i="65"/>
  <c r="O1098" i="65"/>
  <c r="R1097" i="65"/>
  <c r="Q1097" i="65"/>
  <c r="P1097" i="65"/>
  <c r="O1097" i="65"/>
  <c r="R1096" i="65"/>
  <c r="Q1096" i="65"/>
  <c r="P1096" i="65"/>
  <c r="O1096" i="65"/>
  <c r="R1095" i="65"/>
  <c r="Q1095" i="65"/>
  <c r="P1095" i="65"/>
  <c r="O1095" i="65"/>
  <c r="R1094" i="65"/>
  <c r="Q1094" i="65"/>
  <c r="P1094" i="65"/>
  <c r="O1094" i="65"/>
  <c r="R1093" i="65"/>
  <c r="Q1093" i="65"/>
  <c r="P1093" i="65"/>
  <c r="O1093" i="65"/>
  <c r="R1092" i="65"/>
  <c r="Q1092" i="65"/>
  <c r="P1092" i="65"/>
  <c r="O1092" i="65"/>
  <c r="R1091" i="65"/>
  <c r="Q1091" i="65"/>
  <c r="P1091" i="65"/>
  <c r="O1091" i="65"/>
  <c r="R1090" i="65"/>
  <c r="Q1090" i="65"/>
  <c r="P1090" i="65"/>
  <c r="O1090" i="65"/>
  <c r="R1089" i="65"/>
  <c r="Q1089" i="65"/>
  <c r="P1089" i="65"/>
  <c r="O1089" i="65"/>
  <c r="R1088" i="65"/>
  <c r="Q1088" i="65"/>
  <c r="P1088" i="65"/>
  <c r="O1088" i="65"/>
  <c r="R1087" i="65"/>
  <c r="Q1087" i="65"/>
  <c r="P1087" i="65"/>
  <c r="O1087" i="65"/>
  <c r="R1086" i="65"/>
  <c r="Q1086" i="65"/>
  <c r="P1086" i="65"/>
  <c r="O1086" i="65"/>
  <c r="R1085" i="65"/>
  <c r="Q1085" i="65"/>
  <c r="P1085" i="65"/>
  <c r="O1085" i="65"/>
  <c r="R1084" i="65"/>
  <c r="Q1084" i="65"/>
  <c r="P1084" i="65"/>
  <c r="O1084" i="65"/>
  <c r="R1083" i="65"/>
  <c r="Q1083" i="65"/>
  <c r="P1083" i="65"/>
  <c r="O1083" i="65"/>
  <c r="R1082" i="65"/>
  <c r="Q1082" i="65"/>
  <c r="P1082" i="65"/>
  <c r="O1082" i="65"/>
  <c r="R1081" i="65"/>
  <c r="Q1081" i="65"/>
  <c r="P1081" i="65"/>
  <c r="O1081" i="65"/>
  <c r="R1080" i="65"/>
  <c r="Q1080" i="65"/>
  <c r="P1080" i="65"/>
  <c r="O1080" i="65"/>
  <c r="R1079" i="65"/>
  <c r="Q1079" i="65"/>
  <c r="P1079" i="65"/>
  <c r="O1079" i="65"/>
  <c r="R1078" i="65"/>
  <c r="Q1078" i="65"/>
  <c r="P1078" i="65"/>
  <c r="O1078" i="65"/>
  <c r="R1077" i="65"/>
  <c r="Q1077" i="65"/>
  <c r="P1077" i="65"/>
  <c r="O1077" i="65"/>
  <c r="R1076" i="65"/>
  <c r="Q1076" i="65"/>
  <c r="P1076" i="65"/>
  <c r="O1076" i="65"/>
  <c r="R1075" i="65"/>
  <c r="Q1075" i="65"/>
  <c r="P1075" i="65"/>
  <c r="O1075" i="65"/>
  <c r="R1074" i="65"/>
  <c r="Q1074" i="65"/>
  <c r="P1074" i="65"/>
  <c r="O1074" i="65"/>
  <c r="R1073" i="65"/>
  <c r="Q1073" i="65"/>
  <c r="P1073" i="65"/>
  <c r="O1073" i="65"/>
  <c r="R1072" i="65"/>
  <c r="Q1072" i="65"/>
  <c r="P1072" i="65"/>
  <c r="O1072" i="65"/>
  <c r="R1071" i="65"/>
  <c r="Q1071" i="65"/>
  <c r="P1071" i="65"/>
  <c r="O1071" i="65"/>
  <c r="R1070" i="65"/>
  <c r="Q1070" i="65"/>
  <c r="P1070" i="65"/>
  <c r="O1070" i="65"/>
  <c r="R1069" i="65"/>
  <c r="Q1069" i="65"/>
  <c r="P1069" i="65"/>
  <c r="O1069" i="65"/>
  <c r="R1068" i="65"/>
  <c r="Q1068" i="65"/>
  <c r="P1068" i="65"/>
  <c r="O1068" i="65"/>
  <c r="R1067" i="65"/>
  <c r="Q1067" i="65"/>
  <c r="P1067" i="65"/>
  <c r="O1067" i="65"/>
  <c r="R1066" i="65"/>
  <c r="Q1066" i="65"/>
  <c r="P1066" i="65"/>
  <c r="O1066" i="65"/>
  <c r="R1065" i="65"/>
  <c r="Q1065" i="65"/>
  <c r="P1065" i="65"/>
  <c r="O1065" i="65"/>
  <c r="R1064" i="65"/>
  <c r="Q1064" i="65"/>
  <c r="P1064" i="65"/>
  <c r="O1064" i="65"/>
  <c r="R1063" i="65"/>
  <c r="Q1063" i="65"/>
  <c r="P1063" i="65"/>
  <c r="O1063" i="65"/>
  <c r="R1062" i="65"/>
  <c r="Q1062" i="65"/>
  <c r="P1062" i="65"/>
  <c r="O1062" i="65"/>
  <c r="R1061" i="65"/>
  <c r="Q1061" i="65"/>
  <c r="P1061" i="65"/>
  <c r="O1061" i="65"/>
  <c r="R1060" i="65"/>
  <c r="Q1060" i="65"/>
  <c r="P1060" i="65"/>
  <c r="O1060" i="65"/>
  <c r="R1059" i="65"/>
  <c r="Q1059" i="65"/>
  <c r="P1059" i="65"/>
  <c r="O1059" i="65"/>
  <c r="R1058" i="65"/>
  <c r="Q1058" i="65"/>
  <c r="P1058" i="65"/>
  <c r="O1058" i="65"/>
  <c r="R1057" i="65"/>
  <c r="Q1057" i="65"/>
  <c r="P1057" i="65"/>
  <c r="O1057" i="65"/>
  <c r="R1056" i="65"/>
  <c r="Q1056" i="65"/>
  <c r="P1056" i="65"/>
  <c r="O1056" i="65"/>
  <c r="R1055" i="65"/>
  <c r="Q1055" i="65"/>
  <c r="P1055" i="65"/>
  <c r="O1055" i="65"/>
  <c r="R1054" i="65"/>
  <c r="Q1054" i="65"/>
  <c r="P1054" i="65"/>
  <c r="O1054" i="65"/>
  <c r="R1053" i="65"/>
  <c r="Q1053" i="65"/>
  <c r="P1053" i="65"/>
  <c r="O1053" i="65"/>
  <c r="R1052" i="65"/>
  <c r="Q1052" i="65"/>
  <c r="P1052" i="65"/>
  <c r="O1052" i="65"/>
  <c r="R1051" i="65"/>
  <c r="Q1051" i="65"/>
  <c r="P1051" i="65"/>
  <c r="O1051" i="65"/>
  <c r="R1050" i="65"/>
  <c r="Q1050" i="65"/>
  <c r="P1050" i="65"/>
  <c r="O1050" i="65"/>
  <c r="R1049" i="65"/>
  <c r="Q1049" i="65"/>
  <c r="P1049" i="65"/>
  <c r="O1049" i="65"/>
  <c r="R1048" i="65"/>
  <c r="Q1048" i="65"/>
  <c r="P1048" i="65"/>
  <c r="O1048" i="65"/>
  <c r="R1047" i="65"/>
  <c r="Q1047" i="65"/>
  <c r="P1047" i="65"/>
  <c r="O1047" i="65"/>
  <c r="R1046" i="65"/>
  <c r="Q1046" i="65"/>
  <c r="P1046" i="65"/>
  <c r="O1046" i="65"/>
  <c r="R1045" i="65"/>
  <c r="Q1045" i="65"/>
  <c r="P1045" i="65"/>
  <c r="O1045" i="65"/>
  <c r="R1044" i="65"/>
  <c r="Q1044" i="65"/>
  <c r="P1044" i="65"/>
  <c r="O1044" i="65"/>
  <c r="R1043" i="65"/>
  <c r="Q1043" i="65"/>
  <c r="P1043" i="65"/>
  <c r="O1043" i="65"/>
  <c r="R1042" i="65"/>
  <c r="Q1042" i="65"/>
  <c r="P1042" i="65"/>
  <c r="O1042" i="65"/>
  <c r="R1041" i="65"/>
  <c r="Q1041" i="65"/>
  <c r="P1041" i="65"/>
  <c r="O1041" i="65"/>
  <c r="R1040" i="65"/>
  <c r="Q1040" i="65"/>
  <c r="P1040" i="65"/>
  <c r="O1040" i="65"/>
  <c r="R1039" i="65"/>
  <c r="Q1039" i="65"/>
  <c r="P1039" i="65"/>
  <c r="O1039" i="65"/>
  <c r="R1038" i="65"/>
  <c r="Q1038" i="65"/>
  <c r="P1038" i="65"/>
  <c r="O1038" i="65"/>
  <c r="R1037" i="65"/>
  <c r="Q1037" i="65"/>
  <c r="P1037" i="65"/>
  <c r="O1037" i="65"/>
  <c r="R1036" i="65"/>
  <c r="Q1036" i="65"/>
  <c r="P1036" i="65"/>
  <c r="O1036" i="65"/>
  <c r="R1035" i="65"/>
  <c r="Q1035" i="65"/>
  <c r="P1035" i="65"/>
  <c r="O1035" i="65"/>
  <c r="R1034" i="65"/>
  <c r="Q1034" i="65"/>
  <c r="P1034" i="65"/>
  <c r="O1034" i="65"/>
  <c r="R1033" i="65"/>
  <c r="Q1033" i="65"/>
  <c r="P1033" i="65"/>
  <c r="O1033" i="65"/>
  <c r="R1032" i="65"/>
  <c r="Q1032" i="65"/>
  <c r="P1032" i="65"/>
  <c r="O1032" i="65"/>
  <c r="R1031" i="65"/>
  <c r="Q1031" i="65"/>
  <c r="P1031" i="65"/>
  <c r="O1031" i="65"/>
  <c r="R1030" i="65"/>
  <c r="Q1030" i="65"/>
  <c r="P1030" i="65"/>
  <c r="O1030" i="65"/>
  <c r="R1029" i="65"/>
  <c r="Q1029" i="65"/>
  <c r="P1029" i="65"/>
  <c r="O1029" i="65"/>
  <c r="R1028" i="65"/>
  <c r="Q1028" i="65"/>
  <c r="P1028" i="65"/>
  <c r="O1028" i="65"/>
  <c r="R1027" i="65"/>
  <c r="Q1027" i="65"/>
  <c r="P1027" i="65"/>
  <c r="O1027" i="65"/>
  <c r="R1026" i="65"/>
  <c r="Q1026" i="65"/>
  <c r="P1026" i="65"/>
  <c r="O1026" i="65"/>
  <c r="R1025" i="65"/>
  <c r="Q1025" i="65"/>
  <c r="P1025" i="65"/>
  <c r="O1025" i="65"/>
  <c r="R1024" i="65"/>
  <c r="Q1024" i="65"/>
  <c r="P1024" i="65"/>
  <c r="O1024" i="65"/>
  <c r="R1023" i="65"/>
  <c r="Q1023" i="65"/>
  <c r="P1023" i="65"/>
  <c r="O1023" i="65"/>
  <c r="R1022" i="65"/>
  <c r="Q1022" i="65"/>
  <c r="P1022" i="65"/>
  <c r="O1022" i="65"/>
  <c r="R1021" i="65"/>
  <c r="Q1021" i="65"/>
  <c r="P1021" i="65"/>
  <c r="O1021" i="65"/>
  <c r="R1020" i="65"/>
  <c r="Q1020" i="65"/>
  <c r="P1020" i="65"/>
  <c r="O1020" i="65"/>
  <c r="R1019" i="65"/>
  <c r="Q1019" i="65"/>
  <c r="P1019" i="65"/>
  <c r="O1019" i="65"/>
  <c r="R1018" i="65"/>
  <c r="Q1018" i="65"/>
  <c r="P1018" i="65"/>
  <c r="O1018" i="65"/>
  <c r="R1017" i="65"/>
  <c r="Q1017" i="65"/>
  <c r="P1017" i="65"/>
  <c r="O1017" i="65"/>
  <c r="R1016" i="65"/>
  <c r="Q1016" i="65"/>
  <c r="P1016" i="65"/>
  <c r="O1016" i="65"/>
  <c r="R1015" i="65"/>
  <c r="Q1015" i="65"/>
  <c r="P1015" i="65"/>
  <c r="O1015" i="65"/>
  <c r="R1014" i="65"/>
  <c r="Q1014" i="65"/>
  <c r="P1014" i="65"/>
  <c r="O1014" i="65"/>
  <c r="R1013" i="65"/>
  <c r="Q1013" i="65"/>
  <c r="P1013" i="65"/>
  <c r="O1013" i="65"/>
  <c r="R1012" i="65"/>
  <c r="Q1012" i="65"/>
  <c r="P1012" i="65"/>
  <c r="O1012" i="65"/>
  <c r="R1011" i="65"/>
  <c r="Q1011" i="65"/>
  <c r="P1011" i="65"/>
  <c r="O1011" i="65"/>
  <c r="R1010" i="65"/>
  <c r="Q1010" i="65"/>
  <c r="P1010" i="65"/>
  <c r="O1010" i="65"/>
  <c r="R1009" i="65"/>
  <c r="Q1009" i="65"/>
  <c r="P1009" i="65"/>
  <c r="O1009" i="65"/>
  <c r="R1008" i="65"/>
  <c r="Q1008" i="65"/>
  <c r="P1008" i="65"/>
  <c r="O1008" i="65"/>
  <c r="R1007" i="65"/>
  <c r="Q1007" i="65"/>
  <c r="P1007" i="65"/>
  <c r="O1007" i="65"/>
  <c r="R1006" i="65"/>
  <c r="Q1006" i="65"/>
  <c r="P1006" i="65"/>
  <c r="O1006" i="65"/>
  <c r="R1005" i="65"/>
  <c r="Q1005" i="65"/>
  <c r="P1005" i="65"/>
  <c r="O1005" i="65"/>
  <c r="R1004" i="65"/>
  <c r="Q1004" i="65"/>
  <c r="P1004" i="65"/>
  <c r="O1004" i="65"/>
  <c r="R1003" i="65"/>
  <c r="Q1003" i="65"/>
  <c r="P1003" i="65"/>
  <c r="O1003" i="65"/>
  <c r="R1002" i="65"/>
  <c r="Q1002" i="65"/>
  <c r="P1002" i="65"/>
  <c r="O1002" i="65"/>
  <c r="R1001" i="65"/>
  <c r="Q1001" i="65"/>
  <c r="P1001" i="65"/>
  <c r="O1001" i="65"/>
  <c r="R1000" i="65"/>
  <c r="Q1000" i="65"/>
  <c r="P1000" i="65"/>
  <c r="O1000" i="65"/>
  <c r="R999" i="65"/>
  <c r="Q999" i="65"/>
  <c r="P999" i="65"/>
  <c r="O999" i="65"/>
  <c r="R998" i="65"/>
  <c r="Q998" i="65"/>
  <c r="P998" i="65"/>
  <c r="O998" i="65"/>
  <c r="R997" i="65"/>
  <c r="Q997" i="65"/>
  <c r="P997" i="65"/>
  <c r="O997" i="65"/>
  <c r="R996" i="65"/>
  <c r="Q996" i="65"/>
  <c r="P996" i="65"/>
  <c r="O996" i="65"/>
  <c r="R995" i="65"/>
  <c r="Q995" i="65"/>
  <c r="P995" i="65"/>
  <c r="O995" i="65"/>
  <c r="R994" i="65"/>
  <c r="Q994" i="65"/>
  <c r="P994" i="65"/>
  <c r="O994" i="65"/>
  <c r="R993" i="65"/>
  <c r="Q993" i="65"/>
  <c r="P993" i="65"/>
  <c r="O993" i="65"/>
  <c r="R992" i="65"/>
  <c r="Q992" i="65"/>
  <c r="P992" i="65"/>
  <c r="O992" i="65"/>
  <c r="R991" i="65"/>
  <c r="Q991" i="65"/>
  <c r="P991" i="65"/>
  <c r="O991" i="65"/>
  <c r="R990" i="65"/>
  <c r="Q990" i="65"/>
  <c r="P990" i="65"/>
  <c r="O990" i="65"/>
  <c r="R989" i="65"/>
  <c r="Q989" i="65"/>
  <c r="P989" i="65"/>
  <c r="O989" i="65"/>
  <c r="R988" i="65"/>
  <c r="Q988" i="65"/>
  <c r="P988" i="65"/>
  <c r="O988" i="65"/>
  <c r="R987" i="65"/>
  <c r="Q987" i="65"/>
  <c r="P987" i="65"/>
  <c r="O987" i="65"/>
  <c r="R986" i="65"/>
  <c r="Q986" i="65"/>
  <c r="P986" i="65"/>
  <c r="O986" i="65"/>
  <c r="R985" i="65"/>
  <c r="Q985" i="65"/>
  <c r="P985" i="65"/>
  <c r="O985" i="65"/>
  <c r="R984" i="65"/>
  <c r="Q984" i="65"/>
  <c r="P984" i="65"/>
  <c r="O984" i="65"/>
  <c r="R983" i="65"/>
  <c r="Q983" i="65"/>
  <c r="P983" i="65"/>
  <c r="O983" i="65"/>
  <c r="R982" i="65"/>
  <c r="Q982" i="65"/>
  <c r="P982" i="65"/>
  <c r="O982" i="65"/>
  <c r="R981" i="65"/>
  <c r="Q981" i="65"/>
  <c r="P981" i="65"/>
  <c r="O981" i="65"/>
  <c r="R980" i="65"/>
  <c r="Q980" i="65"/>
  <c r="P980" i="65"/>
  <c r="O980" i="65"/>
  <c r="R979" i="65"/>
  <c r="Q979" i="65"/>
  <c r="P979" i="65"/>
  <c r="O979" i="65"/>
  <c r="R978" i="65"/>
  <c r="Q978" i="65"/>
  <c r="P978" i="65"/>
  <c r="O978" i="65"/>
  <c r="R977" i="65"/>
  <c r="Q977" i="65"/>
  <c r="P977" i="65"/>
  <c r="O977" i="65"/>
  <c r="R976" i="65"/>
  <c r="Q976" i="65"/>
  <c r="P976" i="65"/>
  <c r="O976" i="65"/>
  <c r="R975" i="65"/>
  <c r="Q975" i="65"/>
  <c r="P975" i="65"/>
  <c r="O975" i="65"/>
  <c r="R974" i="65"/>
  <c r="Q974" i="65"/>
  <c r="P974" i="65"/>
  <c r="O974" i="65"/>
  <c r="R973" i="65"/>
  <c r="Q973" i="65"/>
  <c r="P973" i="65"/>
  <c r="O973" i="65"/>
  <c r="R972" i="65"/>
  <c r="Q972" i="65"/>
  <c r="P972" i="65"/>
  <c r="O972" i="65"/>
  <c r="R971" i="65"/>
  <c r="Q971" i="65"/>
  <c r="P971" i="65"/>
  <c r="O971" i="65"/>
  <c r="R970" i="65"/>
  <c r="Q970" i="65"/>
  <c r="P970" i="65"/>
  <c r="O970" i="65"/>
  <c r="R969" i="65"/>
  <c r="Q969" i="65"/>
  <c r="P969" i="65"/>
  <c r="O969" i="65"/>
  <c r="R968" i="65"/>
  <c r="Q968" i="65"/>
  <c r="P968" i="65"/>
  <c r="O968" i="65"/>
  <c r="R967" i="65"/>
  <c r="Q967" i="65"/>
  <c r="P967" i="65"/>
  <c r="O967" i="65"/>
  <c r="R966" i="65"/>
  <c r="Q966" i="65"/>
  <c r="P966" i="65"/>
  <c r="O966" i="65"/>
  <c r="R965" i="65"/>
  <c r="Q965" i="65"/>
  <c r="P965" i="65"/>
  <c r="O965" i="65"/>
  <c r="R964" i="65"/>
  <c r="Q964" i="65"/>
  <c r="P964" i="65"/>
  <c r="O964" i="65"/>
  <c r="R963" i="65"/>
  <c r="Q963" i="65"/>
  <c r="P963" i="65"/>
  <c r="O963" i="65"/>
  <c r="R962" i="65"/>
  <c r="Q962" i="65"/>
  <c r="P962" i="65"/>
  <c r="O962" i="65"/>
  <c r="R961" i="65"/>
  <c r="Q961" i="65"/>
  <c r="P961" i="65"/>
  <c r="O961" i="65"/>
  <c r="R960" i="65"/>
  <c r="Q960" i="65"/>
  <c r="P960" i="65"/>
  <c r="O960" i="65"/>
  <c r="R959" i="65"/>
  <c r="Q959" i="65"/>
  <c r="P959" i="65"/>
  <c r="O959" i="65"/>
  <c r="R958" i="65"/>
  <c r="Q958" i="65"/>
  <c r="P958" i="65"/>
  <c r="O958" i="65"/>
  <c r="R957" i="65"/>
  <c r="Q957" i="65"/>
  <c r="P957" i="65"/>
  <c r="O957" i="65"/>
  <c r="R956" i="65"/>
  <c r="Q956" i="65"/>
  <c r="P956" i="65"/>
  <c r="O956" i="65"/>
  <c r="R955" i="65"/>
  <c r="Q955" i="65"/>
  <c r="P955" i="65"/>
  <c r="O955" i="65"/>
  <c r="R954" i="65"/>
  <c r="Q954" i="65"/>
  <c r="P954" i="65"/>
  <c r="O954" i="65"/>
  <c r="R953" i="65"/>
  <c r="Q953" i="65"/>
  <c r="P953" i="65"/>
  <c r="O953" i="65"/>
  <c r="R952" i="65"/>
  <c r="Q952" i="65"/>
  <c r="P952" i="65"/>
  <c r="O952" i="65"/>
  <c r="R951" i="65"/>
  <c r="Q951" i="65"/>
  <c r="P951" i="65"/>
  <c r="O951" i="65"/>
  <c r="R950" i="65"/>
  <c r="Q950" i="65"/>
  <c r="P950" i="65"/>
  <c r="O950" i="65"/>
  <c r="R949" i="65"/>
  <c r="Q949" i="65"/>
  <c r="P949" i="65"/>
  <c r="O949" i="65"/>
  <c r="R948" i="65"/>
  <c r="Q948" i="65"/>
  <c r="P948" i="65"/>
  <c r="O948" i="65"/>
  <c r="R947" i="65"/>
  <c r="Q947" i="65"/>
  <c r="P947" i="65"/>
  <c r="O947" i="65"/>
  <c r="R946" i="65"/>
  <c r="Q946" i="65"/>
  <c r="P946" i="65"/>
  <c r="O946" i="65"/>
  <c r="R945" i="65"/>
  <c r="Q945" i="65"/>
  <c r="P945" i="65"/>
  <c r="O945" i="65"/>
  <c r="R944" i="65"/>
  <c r="Q944" i="65"/>
  <c r="P944" i="65"/>
  <c r="O944" i="65"/>
  <c r="R943" i="65"/>
  <c r="Q943" i="65"/>
  <c r="P943" i="65"/>
  <c r="O943" i="65"/>
  <c r="R942" i="65"/>
  <c r="Q942" i="65"/>
  <c r="P942" i="65"/>
  <c r="O942" i="65"/>
  <c r="R941" i="65"/>
  <c r="Q941" i="65"/>
  <c r="P941" i="65"/>
  <c r="O941" i="65"/>
  <c r="R940" i="65"/>
  <c r="Q940" i="65"/>
  <c r="P940" i="65"/>
  <c r="O940" i="65"/>
  <c r="R939" i="65"/>
  <c r="Q939" i="65"/>
  <c r="P939" i="65"/>
  <c r="O939" i="65"/>
  <c r="R938" i="65"/>
  <c r="Q938" i="65"/>
  <c r="P938" i="65"/>
  <c r="O938" i="65"/>
  <c r="R937" i="65"/>
  <c r="Q937" i="65"/>
  <c r="P937" i="65"/>
  <c r="O937" i="65"/>
  <c r="R936" i="65"/>
  <c r="Q936" i="65"/>
  <c r="P936" i="65"/>
  <c r="O936" i="65"/>
  <c r="R935" i="65"/>
  <c r="Q935" i="65"/>
  <c r="P935" i="65"/>
  <c r="O935" i="65"/>
  <c r="R934" i="65"/>
  <c r="Q934" i="65"/>
  <c r="P934" i="65"/>
  <c r="O934" i="65"/>
  <c r="R933" i="65"/>
  <c r="Q933" i="65"/>
  <c r="P933" i="65"/>
  <c r="O933" i="65"/>
  <c r="R932" i="65"/>
  <c r="Q932" i="65"/>
  <c r="P932" i="65"/>
  <c r="O932" i="65"/>
  <c r="R931" i="65"/>
  <c r="Q931" i="65"/>
  <c r="P931" i="65"/>
  <c r="O931" i="65"/>
  <c r="R930" i="65"/>
  <c r="Q930" i="65"/>
  <c r="P930" i="65"/>
  <c r="O930" i="65"/>
  <c r="R929" i="65"/>
  <c r="Q929" i="65"/>
  <c r="P929" i="65"/>
  <c r="O929" i="65"/>
  <c r="R928" i="65"/>
  <c r="Q928" i="65"/>
  <c r="P928" i="65"/>
  <c r="O928" i="65"/>
  <c r="R927" i="65"/>
  <c r="Q927" i="65"/>
  <c r="P927" i="65"/>
  <c r="O927" i="65"/>
  <c r="R926" i="65"/>
  <c r="Q926" i="65"/>
  <c r="P926" i="65"/>
  <c r="O926" i="65"/>
  <c r="R925" i="65"/>
  <c r="Q925" i="65"/>
  <c r="P925" i="65"/>
  <c r="O925" i="65"/>
  <c r="R924" i="65"/>
  <c r="Q924" i="65"/>
  <c r="P924" i="65"/>
  <c r="O924" i="65"/>
  <c r="R923" i="65"/>
  <c r="Q923" i="65"/>
  <c r="P923" i="65"/>
  <c r="O923" i="65"/>
  <c r="R922" i="65"/>
  <c r="Q922" i="65"/>
  <c r="P922" i="65"/>
  <c r="O922" i="65"/>
  <c r="R921" i="65"/>
  <c r="Q921" i="65"/>
  <c r="P921" i="65"/>
  <c r="O921" i="65"/>
  <c r="R920" i="65"/>
  <c r="Q920" i="65"/>
  <c r="P920" i="65"/>
  <c r="O920" i="65"/>
  <c r="R919" i="65"/>
  <c r="Q919" i="65"/>
  <c r="P919" i="65"/>
  <c r="O919" i="65"/>
  <c r="R918" i="65"/>
  <c r="Q918" i="65"/>
  <c r="P918" i="65"/>
  <c r="O918" i="65"/>
  <c r="R917" i="65"/>
  <c r="Q917" i="65"/>
  <c r="P917" i="65"/>
  <c r="O917" i="65"/>
  <c r="R916" i="65"/>
  <c r="Q916" i="65"/>
  <c r="P916" i="65"/>
  <c r="O916" i="65"/>
  <c r="R915" i="65"/>
  <c r="Q915" i="65"/>
  <c r="P915" i="65"/>
  <c r="O915" i="65"/>
  <c r="R914" i="65"/>
  <c r="Q914" i="65"/>
  <c r="P914" i="65"/>
  <c r="O914" i="65"/>
  <c r="R913" i="65"/>
  <c r="Q913" i="65"/>
  <c r="P913" i="65"/>
  <c r="O913" i="65"/>
  <c r="R912" i="65"/>
  <c r="Q912" i="65"/>
  <c r="P912" i="65"/>
  <c r="O912" i="65"/>
  <c r="R911" i="65"/>
  <c r="Q911" i="65"/>
  <c r="P911" i="65"/>
  <c r="O911" i="65"/>
  <c r="R910" i="65"/>
  <c r="Q910" i="65"/>
  <c r="P910" i="65"/>
  <c r="O910" i="65"/>
  <c r="R909" i="65"/>
  <c r="Q909" i="65"/>
  <c r="P909" i="65"/>
  <c r="O909" i="65"/>
  <c r="R908" i="65"/>
  <c r="Q908" i="65"/>
  <c r="P908" i="65"/>
  <c r="O908" i="65"/>
  <c r="R907" i="65"/>
  <c r="Q907" i="65"/>
  <c r="P907" i="65"/>
  <c r="O907" i="65"/>
  <c r="R906" i="65"/>
  <c r="Q906" i="65"/>
  <c r="P906" i="65"/>
  <c r="O906" i="65"/>
  <c r="R905" i="65"/>
  <c r="Q905" i="65"/>
  <c r="P905" i="65"/>
  <c r="O905" i="65"/>
  <c r="R904" i="65"/>
  <c r="Q904" i="65"/>
  <c r="P904" i="65"/>
  <c r="O904" i="65"/>
  <c r="R903" i="65"/>
  <c r="Q903" i="65"/>
  <c r="P903" i="65"/>
  <c r="O903" i="65"/>
  <c r="R902" i="65"/>
  <c r="Q902" i="65"/>
  <c r="P902" i="65"/>
  <c r="O902" i="65"/>
  <c r="R901" i="65"/>
  <c r="Q901" i="65"/>
  <c r="P901" i="65"/>
  <c r="O901" i="65"/>
  <c r="R900" i="65"/>
  <c r="Q900" i="65"/>
  <c r="P900" i="65"/>
  <c r="O900" i="65"/>
  <c r="R899" i="65"/>
  <c r="Q899" i="65"/>
  <c r="P899" i="65"/>
  <c r="O899" i="65"/>
  <c r="R898" i="65"/>
  <c r="Q898" i="65"/>
  <c r="P898" i="65"/>
  <c r="O898" i="65"/>
  <c r="R897" i="65"/>
  <c r="Q897" i="65"/>
  <c r="P897" i="65"/>
  <c r="O897" i="65"/>
  <c r="R896" i="65"/>
  <c r="Q896" i="65"/>
  <c r="P896" i="65"/>
  <c r="O896" i="65"/>
  <c r="R895" i="65"/>
  <c r="Q895" i="65"/>
  <c r="P895" i="65"/>
  <c r="O895" i="65"/>
  <c r="R894" i="65"/>
  <c r="Q894" i="65"/>
  <c r="P894" i="65"/>
  <c r="O894" i="65"/>
  <c r="R893" i="65"/>
  <c r="Q893" i="65"/>
  <c r="P893" i="65"/>
  <c r="O893" i="65"/>
  <c r="R892" i="65"/>
  <c r="Q892" i="65"/>
  <c r="P892" i="65"/>
  <c r="O892" i="65"/>
  <c r="R891" i="65"/>
  <c r="Q891" i="65"/>
  <c r="P891" i="65"/>
  <c r="O891" i="65"/>
  <c r="R890" i="65"/>
  <c r="Q890" i="65"/>
  <c r="P890" i="65"/>
  <c r="O890" i="65"/>
  <c r="R889" i="65"/>
  <c r="Q889" i="65"/>
  <c r="P889" i="65"/>
  <c r="O889" i="65"/>
  <c r="R888" i="65"/>
  <c r="Q888" i="65"/>
  <c r="P888" i="65"/>
  <c r="O888" i="65"/>
  <c r="R887" i="65"/>
  <c r="Q887" i="65"/>
  <c r="P887" i="65"/>
  <c r="O887" i="65"/>
  <c r="R886" i="65"/>
  <c r="Q886" i="65"/>
  <c r="P886" i="65"/>
  <c r="O886" i="65"/>
  <c r="R885" i="65"/>
  <c r="Q885" i="65"/>
  <c r="P885" i="65"/>
  <c r="O885" i="65"/>
  <c r="R884" i="65"/>
  <c r="Q884" i="65"/>
  <c r="P884" i="65"/>
  <c r="O884" i="65"/>
  <c r="R883" i="65"/>
  <c r="Q883" i="65"/>
  <c r="P883" i="65"/>
  <c r="O883" i="65"/>
  <c r="R882" i="65"/>
  <c r="Q882" i="65"/>
  <c r="P882" i="65"/>
  <c r="O882" i="65"/>
  <c r="R881" i="65"/>
  <c r="Q881" i="65"/>
  <c r="P881" i="65"/>
  <c r="O881" i="65"/>
  <c r="R880" i="65"/>
  <c r="Q880" i="65"/>
  <c r="P880" i="65"/>
  <c r="O880" i="65"/>
  <c r="R879" i="65"/>
  <c r="Q879" i="65"/>
  <c r="P879" i="65"/>
  <c r="O879" i="65"/>
  <c r="R878" i="65"/>
  <c r="Q878" i="65"/>
  <c r="P878" i="65"/>
  <c r="O878" i="65"/>
  <c r="R877" i="65"/>
  <c r="Q877" i="65"/>
  <c r="P877" i="65"/>
  <c r="O877" i="65"/>
  <c r="R876" i="65"/>
  <c r="Q876" i="65"/>
  <c r="P876" i="65"/>
  <c r="O876" i="65"/>
  <c r="R875" i="65"/>
  <c r="Q875" i="65"/>
  <c r="P875" i="65"/>
  <c r="O875" i="65"/>
  <c r="R874" i="65"/>
  <c r="Q874" i="65"/>
  <c r="P874" i="65"/>
  <c r="O874" i="65"/>
  <c r="R873" i="65"/>
  <c r="Q873" i="65"/>
  <c r="P873" i="65"/>
  <c r="O873" i="65"/>
  <c r="R872" i="65"/>
  <c r="Q872" i="65"/>
  <c r="P872" i="65"/>
  <c r="O872" i="65"/>
  <c r="R871" i="65"/>
  <c r="Q871" i="65"/>
  <c r="P871" i="65"/>
  <c r="O871" i="65"/>
  <c r="R870" i="65"/>
  <c r="Q870" i="65"/>
  <c r="P870" i="65"/>
  <c r="O870" i="65"/>
  <c r="R869" i="65"/>
  <c r="Q869" i="65"/>
  <c r="P869" i="65"/>
  <c r="O869" i="65"/>
  <c r="R868" i="65"/>
  <c r="Q868" i="65"/>
  <c r="P868" i="65"/>
  <c r="O868" i="65"/>
  <c r="R867" i="65"/>
  <c r="Q867" i="65"/>
  <c r="P867" i="65"/>
  <c r="O867" i="65"/>
  <c r="R866" i="65"/>
  <c r="Q866" i="65"/>
  <c r="P866" i="65"/>
  <c r="O866" i="65"/>
  <c r="R865" i="65"/>
  <c r="Q865" i="65"/>
  <c r="P865" i="65"/>
  <c r="O865" i="65"/>
  <c r="R864" i="65"/>
  <c r="Q864" i="65"/>
  <c r="P864" i="65"/>
  <c r="O864" i="65"/>
  <c r="R863" i="65"/>
  <c r="Q863" i="65"/>
  <c r="P863" i="65"/>
  <c r="O863" i="65"/>
  <c r="R862" i="65"/>
  <c r="Q862" i="65"/>
  <c r="P862" i="65"/>
  <c r="O862" i="65"/>
  <c r="R861" i="65"/>
  <c r="Q861" i="65"/>
  <c r="P861" i="65"/>
  <c r="O861" i="65"/>
  <c r="R860" i="65"/>
  <c r="Q860" i="65"/>
  <c r="P860" i="65"/>
  <c r="O860" i="65"/>
  <c r="R859" i="65"/>
  <c r="Q859" i="65"/>
  <c r="P859" i="65"/>
  <c r="O859" i="65"/>
  <c r="R858" i="65"/>
  <c r="Q858" i="65"/>
  <c r="P858" i="65"/>
  <c r="O858" i="65"/>
  <c r="R857" i="65"/>
  <c r="Q857" i="65"/>
  <c r="P857" i="65"/>
  <c r="O857" i="65"/>
  <c r="R856" i="65"/>
  <c r="Q856" i="65"/>
  <c r="P856" i="65"/>
  <c r="O856" i="65"/>
  <c r="R855" i="65"/>
  <c r="Q855" i="65"/>
  <c r="P855" i="65"/>
  <c r="O855" i="65"/>
  <c r="R854" i="65"/>
  <c r="Q854" i="65"/>
  <c r="P854" i="65"/>
  <c r="O854" i="65"/>
  <c r="R853" i="65"/>
  <c r="Q853" i="65"/>
  <c r="P853" i="65"/>
  <c r="O853" i="65"/>
  <c r="R852" i="65"/>
  <c r="Q852" i="65"/>
  <c r="P852" i="65"/>
  <c r="O852" i="65"/>
  <c r="R851" i="65"/>
  <c r="Q851" i="65"/>
  <c r="P851" i="65"/>
  <c r="O851" i="65"/>
  <c r="R850" i="65"/>
  <c r="Q850" i="65"/>
  <c r="P850" i="65"/>
  <c r="O850" i="65"/>
  <c r="R849" i="65"/>
  <c r="Q849" i="65"/>
  <c r="P849" i="65"/>
  <c r="O849" i="65"/>
  <c r="R848" i="65"/>
  <c r="Q848" i="65"/>
  <c r="P848" i="65"/>
  <c r="O848" i="65"/>
  <c r="R847" i="65"/>
  <c r="Q847" i="65"/>
  <c r="P847" i="65"/>
  <c r="O847" i="65"/>
  <c r="R846" i="65"/>
  <c r="Q846" i="65"/>
  <c r="P846" i="65"/>
  <c r="O846" i="65"/>
  <c r="R845" i="65"/>
  <c r="Q845" i="65"/>
  <c r="P845" i="65"/>
  <c r="O845" i="65"/>
  <c r="R844" i="65"/>
  <c r="Q844" i="65"/>
  <c r="P844" i="65"/>
  <c r="O844" i="65"/>
  <c r="R843" i="65"/>
  <c r="Q843" i="65"/>
  <c r="P843" i="65"/>
  <c r="O843" i="65"/>
  <c r="R842" i="65"/>
  <c r="Q842" i="65"/>
  <c r="P842" i="65"/>
  <c r="O842" i="65"/>
  <c r="R841" i="65"/>
  <c r="Q841" i="65"/>
  <c r="P841" i="65"/>
  <c r="O841" i="65"/>
  <c r="R840" i="65"/>
  <c r="Q840" i="65"/>
  <c r="P840" i="65"/>
  <c r="O840" i="65"/>
  <c r="R839" i="65"/>
  <c r="Q839" i="65"/>
  <c r="P839" i="65"/>
  <c r="O839" i="65"/>
  <c r="R838" i="65"/>
  <c r="Q838" i="65"/>
  <c r="P838" i="65"/>
  <c r="O838" i="65"/>
  <c r="R837" i="65"/>
  <c r="Q837" i="65"/>
  <c r="P837" i="65"/>
  <c r="O837" i="65"/>
  <c r="R836" i="65"/>
  <c r="Q836" i="65"/>
  <c r="P836" i="65"/>
  <c r="O836" i="65"/>
  <c r="R835" i="65"/>
  <c r="Q835" i="65"/>
  <c r="P835" i="65"/>
  <c r="O835" i="65"/>
  <c r="R834" i="65"/>
  <c r="Q834" i="65"/>
  <c r="P834" i="65"/>
  <c r="O834" i="65"/>
  <c r="R833" i="65"/>
  <c r="Q833" i="65"/>
  <c r="P833" i="65"/>
  <c r="O833" i="65"/>
  <c r="R832" i="65"/>
  <c r="Q832" i="65"/>
  <c r="P832" i="65"/>
  <c r="O832" i="65"/>
  <c r="R831" i="65"/>
  <c r="Q831" i="65"/>
  <c r="P831" i="65"/>
  <c r="O831" i="65"/>
  <c r="R830" i="65"/>
  <c r="Q830" i="65"/>
  <c r="P830" i="65"/>
  <c r="O830" i="65"/>
  <c r="R829" i="65"/>
  <c r="Q829" i="65"/>
  <c r="P829" i="65"/>
  <c r="O829" i="65"/>
  <c r="R828" i="65"/>
  <c r="Q828" i="65"/>
  <c r="P828" i="65"/>
  <c r="O828" i="65"/>
  <c r="R827" i="65"/>
  <c r="Q827" i="65"/>
  <c r="P827" i="65"/>
  <c r="O827" i="65"/>
  <c r="R826" i="65"/>
  <c r="Q826" i="65"/>
  <c r="P826" i="65"/>
  <c r="O826" i="65"/>
  <c r="R825" i="65"/>
  <c r="Q825" i="65"/>
  <c r="P825" i="65"/>
  <c r="O825" i="65"/>
  <c r="R824" i="65"/>
  <c r="Q824" i="65"/>
  <c r="P824" i="65"/>
  <c r="O824" i="65"/>
  <c r="R823" i="65"/>
  <c r="Q823" i="65"/>
  <c r="P823" i="65"/>
  <c r="O823" i="65"/>
  <c r="R822" i="65"/>
  <c r="Q822" i="65"/>
  <c r="P822" i="65"/>
  <c r="O822" i="65"/>
  <c r="R821" i="65"/>
  <c r="Q821" i="65"/>
  <c r="P821" i="65"/>
  <c r="O821" i="65"/>
  <c r="R820" i="65"/>
  <c r="Q820" i="65"/>
  <c r="P820" i="65"/>
  <c r="O820" i="65"/>
  <c r="R819" i="65"/>
  <c r="Q819" i="65"/>
  <c r="P819" i="65"/>
  <c r="O819" i="65"/>
  <c r="R818" i="65"/>
  <c r="Q818" i="65"/>
  <c r="P818" i="65"/>
  <c r="O818" i="65"/>
  <c r="R817" i="65"/>
  <c r="Q817" i="65"/>
  <c r="P817" i="65"/>
  <c r="O817" i="65"/>
  <c r="R816" i="65"/>
  <c r="Q816" i="65"/>
  <c r="P816" i="65"/>
  <c r="O816" i="65"/>
  <c r="R815" i="65"/>
  <c r="Q815" i="65"/>
  <c r="P815" i="65"/>
  <c r="O815" i="65"/>
  <c r="R814" i="65"/>
  <c r="Q814" i="65"/>
  <c r="P814" i="65"/>
  <c r="O814" i="65"/>
  <c r="R813" i="65"/>
  <c r="Q813" i="65"/>
  <c r="P813" i="65"/>
  <c r="O813" i="65"/>
  <c r="R812" i="65"/>
  <c r="Q812" i="65"/>
  <c r="P812" i="65"/>
  <c r="O812" i="65"/>
  <c r="R811" i="65"/>
  <c r="Q811" i="65"/>
  <c r="P811" i="65"/>
  <c r="O811" i="65"/>
  <c r="R810" i="65"/>
  <c r="Q810" i="65"/>
  <c r="P810" i="65"/>
  <c r="O810" i="65"/>
  <c r="R809" i="65"/>
  <c r="Q809" i="65"/>
  <c r="P809" i="65"/>
  <c r="O809" i="65"/>
  <c r="R808" i="65"/>
  <c r="Q808" i="65"/>
  <c r="P808" i="65"/>
  <c r="O808" i="65"/>
  <c r="R807" i="65"/>
  <c r="Q807" i="65"/>
  <c r="P807" i="65"/>
  <c r="O807" i="65"/>
  <c r="R806" i="65"/>
  <c r="Q806" i="65"/>
  <c r="P806" i="65"/>
  <c r="O806" i="65"/>
  <c r="R805" i="65"/>
  <c r="Q805" i="65"/>
  <c r="P805" i="65"/>
  <c r="O805" i="65"/>
  <c r="R804" i="65"/>
  <c r="Q804" i="65"/>
  <c r="P804" i="65"/>
  <c r="O804" i="65"/>
  <c r="R803" i="65"/>
  <c r="Q803" i="65"/>
  <c r="P803" i="65"/>
  <c r="O803" i="65"/>
  <c r="R802" i="65"/>
  <c r="Q802" i="65"/>
  <c r="P802" i="65"/>
  <c r="O802" i="65"/>
  <c r="R801" i="65"/>
  <c r="Q801" i="65"/>
  <c r="P801" i="65"/>
  <c r="O801" i="65"/>
  <c r="R800" i="65"/>
  <c r="Q800" i="65"/>
  <c r="P800" i="65"/>
  <c r="O800" i="65"/>
  <c r="R799" i="65"/>
  <c r="Q799" i="65"/>
  <c r="P799" i="65"/>
  <c r="O799" i="65"/>
  <c r="R798" i="65"/>
  <c r="Q798" i="65"/>
  <c r="P798" i="65"/>
  <c r="O798" i="65"/>
  <c r="R797" i="65"/>
  <c r="Q797" i="65"/>
  <c r="P797" i="65"/>
  <c r="O797" i="65"/>
  <c r="R796" i="65"/>
  <c r="Q796" i="65"/>
  <c r="P796" i="65"/>
  <c r="O796" i="65"/>
  <c r="R795" i="65"/>
  <c r="Q795" i="65"/>
  <c r="P795" i="65"/>
  <c r="O795" i="65"/>
  <c r="R794" i="65"/>
  <c r="Q794" i="65"/>
  <c r="P794" i="65"/>
  <c r="O794" i="65"/>
  <c r="R793" i="65"/>
  <c r="Q793" i="65"/>
  <c r="P793" i="65"/>
  <c r="O793" i="65"/>
  <c r="R792" i="65"/>
  <c r="Q792" i="65"/>
  <c r="P792" i="65"/>
  <c r="O792" i="65"/>
  <c r="R791" i="65"/>
  <c r="Q791" i="65"/>
  <c r="P791" i="65"/>
  <c r="O791" i="65"/>
  <c r="R790" i="65"/>
  <c r="Q790" i="65"/>
  <c r="P790" i="65"/>
  <c r="O790" i="65"/>
  <c r="R789" i="65"/>
  <c r="Q789" i="65"/>
  <c r="P789" i="65"/>
  <c r="O789" i="65"/>
  <c r="R788" i="65"/>
  <c r="Q788" i="65"/>
  <c r="P788" i="65"/>
  <c r="O788" i="65"/>
  <c r="R787" i="65"/>
  <c r="Q787" i="65"/>
  <c r="P787" i="65"/>
  <c r="O787" i="65"/>
  <c r="R786" i="65"/>
  <c r="Q786" i="65"/>
  <c r="P786" i="65"/>
  <c r="O786" i="65"/>
  <c r="R785" i="65"/>
  <c r="Q785" i="65"/>
  <c r="P785" i="65"/>
  <c r="O785" i="65"/>
  <c r="R784" i="65"/>
  <c r="Q784" i="65"/>
  <c r="P784" i="65"/>
  <c r="O784" i="65"/>
  <c r="R783" i="65"/>
  <c r="Q783" i="65"/>
  <c r="P783" i="65"/>
  <c r="O783" i="65"/>
  <c r="R782" i="65"/>
  <c r="Q782" i="65"/>
  <c r="P782" i="65"/>
  <c r="O782" i="65"/>
  <c r="R781" i="65"/>
  <c r="Q781" i="65"/>
  <c r="P781" i="65"/>
  <c r="O781" i="65"/>
  <c r="R780" i="65"/>
  <c r="Q780" i="65"/>
  <c r="P780" i="65"/>
  <c r="O780" i="65"/>
  <c r="R779" i="65"/>
  <c r="Q779" i="65"/>
  <c r="P779" i="65"/>
  <c r="O779" i="65"/>
  <c r="R778" i="65"/>
  <c r="Q778" i="65"/>
  <c r="P778" i="65"/>
  <c r="O778" i="65"/>
  <c r="R777" i="65"/>
  <c r="Q777" i="65"/>
  <c r="P777" i="65"/>
  <c r="O777" i="65"/>
  <c r="R776" i="65"/>
  <c r="Q776" i="65"/>
  <c r="P776" i="65"/>
  <c r="O776" i="65"/>
  <c r="R775" i="65"/>
  <c r="Q775" i="65"/>
  <c r="P775" i="65"/>
  <c r="O775" i="65"/>
  <c r="R774" i="65"/>
  <c r="Q774" i="65"/>
  <c r="P774" i="65"/>
  <c r="O774" i="65"/>
  <c r="R773" i="65"/>
  <c r="Q773" i="65"/>
  <c r="P773" i="65"/>
  <c r="O773" i="65"/>
  <c r="R772" i="65"/>
  <c r="Q772" i="65"/>
  <c r="P772" i="65"/>
  <c r="O772" i="65"/>
  <c r="R771" i="65"/>
  <c r="Q771" i="65"/>
  <c r="P771" i="65"/>
  <c r="O771" i="65"/>
  <c r="R770" i="65"/>
  <c r="Q770" i="65"/>
  <c r="P770" i="65"/>
  <c r="O770" i="65"/>
  <c r="R769" i="65"/>
  <c r="Q769" i="65"/>
  <c r="P769" i="65"/>
  <c r="O769" i="65"/>
  <c r="R768" i="65"/>
  <c r="Q768" i="65"/>
  <c r="P768" i="65"/>
  <c r="O768" i="65"/>
  <c r="R767" i="65"/>
  <c r="Q767" i="65"/>
  <c r="P767" i="65"/>
  <c r="O767" i="65"/>
  <c r="R766" i="65"/>
  <c r="Q766" i="65"/>
  <c r="P766" i="65"/>
  <c r="O766" i="65"/>
  <c r="R765" i="65"/>
  <c r="Q765" i="65"/>
  <c r="P765" i="65"/>
  <c r="O765" i="65"/>
  <c r="R764" i="65"/>
  <c r="Q764" i="65"/>
  <c r="P764" i="65"/>
  <c r="O764" i="65"/>
  <c r="R763" i="65"/>
  <c r="Q763" i="65"/>
  <c r="P763" i="65"/>
  <c r="O763" i="65"/>
  <c r="R762" i="65"/>
  <c r="Q762" i="65"/>
  <c r="P762" i="65"/>
  <c r="O762" i="65"/>
  <c r="R761" i="65"/>
  <c r="Q761" i="65"/>
  <c r="P761" i="65"/>
  <c r="O761" i="65"/>
  <c r="R760" i="65"/>
  <c r="Q760" i="65"/>
  <c r="P760" i="65"/>
  <c r="O760" i="65"/>
  <c r="R759" i="65"/>
  <c r="Q759" i="65"/>
  <c r="P759" i="65"/>
  <c r="O759" i="65"/>
  <c r="R758" i="65"/>
  <c r="Q758" i="65"/>
  <c r="P758" i="65"/>
  <c r="O758" i="65"/>
  <c r="R757" i="65"/>
  <c r="Q757" i="65"/>
  <c r="P757" i="65"/>
  <c r="O757" i="65"/>
  <c r="R756" i="65"/>
  <c r="Q756" i="65"/>
  <c r="P756" i="65"/>
  <c r="O756" i="65"/>
  <c r="R755" i="65"/>
  <c r="Q755" i="65"/>
  <c r="P755" i="65"/>
  <c r="O755" i="65"/>
  <c r="R754" i="65"/>
  <c r="Q754" i="65"/>
  <c r="P754" i="65"/>
  <c r="O754" i="65"/>
  <c r="R753" i="65"/>
  <c r="Q753" i="65"/>
  <c r="P753" i="65"/>
  <c r="O753" i="65"/>
  <c r="R752" i="65"/>
  <c r="Q752" i="65"/>
  <c r="P752" i="65"/>
  <c r="O752" i="65"/>
  <c r="R751" i="65"/>
  <c r="Q751" i="65"/>
  <c r="P751" i="65"/>
  <c r="O751" i="65"/>
  <c r="R750" i="65"/>
  <c r="Q750" i="65"/>
  <c r="P750" i="65"/>
  <c r="O750" i="65"/>
  <c r="R749" i="65"/>
  <c r="Q749" i="65"/>
  <c r="P749" i="65"/>
  <c r="O749" i="65"/>
  <c r="R748" i="65"/>
  <c r="Q748" i="65"/>
  <c r="P748" i="65"/>
  <c r="O748" i="65"/>
  <c r="R747" i="65"/>
  <c r="Q747" i="65"/>
  <c r="P747" i="65"/>
  <c r="O747" i="65"/>
  <c r="R746" i="65"/>
  <c r="Q746" i="65"/>
  <c r="P746" i="65"/>
  <c r="O746" i="65"/>
  <c r="R745" i="65"/>
  <c r="Q745" i="65"/>
  <c r="P745" i="65"/>
  <c r="O745" i="65"/>
  <c r="R744" i="65"/>
  <c r="Q744" i="65"/>
  <c r="P744" i="65"/>
  <c r="O744" i="65"/>
  <c r="R743" i="65"/>
  <c r="Q743" i="65"/>
  <c r="P743" i="65"/>
  <c r="O743" i="65"/>
  <c r="R742" i="65"/>
  <c r="Q742" i="65"/>
  <c r="P742" i="65"/>
  <c r="O742" i="65"/>
  <c r="R741" i="65"/>
  <c r="Q741" i="65"/>
  <c r="P741" i="65"/>
  <c r="O741" i="65"/>
  <c r="R740" i="65"/>
  <c r="Q740" i="65"/>
  <c r="P740" i="65"/>
  <c r="O740" i="65"/>
  <c r="R739" i="65"/>
  <c r="Q739" i="65"/>
  <c r="P739" i="65"/>
  <c r="O739" i="65"/>
  <c r="R738" i="65"/>
  <c r="Q738" i="65"/>
  <c r="P738" i="65"/>
  <c r="O738" i="65"/>
  <c r="R737" i="65"/>
  <c r="Q737" i="65"/>
  <c r="P737" i="65"/>
  <c r="O737" i="65"/>
  <c r="R736" i="65"/>
  <c r="Q736" i="65"/>
  <c r="P736" i="65"/>
  <c r="O736" i="65"/>
  <c r="R735" i="65"/>
  <c r="Q735" i="65"/>
  <c r="P735" i="65"/>
  <c r="O735" i="65"/>
  <c r="R734" i="65"/>
  <c r="Q734" i="65"/>
  <c r="P734" i="65"/>
  <c r="O734" i="65"/>
  <c r="R733" i="65"/>
  <c r="Q733" i="65"/>
  <c r="P733" i="65"/>
  <c r="O733" i="65"/>
  <c r="R732" i="65"/>
  <c r="Q732" i="65"/>
  <c r="P732" i="65"/>
  <c r="O732" i="65"/>
  <c r="R731" i="65"/>
  <c r="Q731" i="65"/>
  <c r="P731" i="65"/>
  <c r="O731" i="65"/>
  <c r="R730" i="65"/>
  <c r="Q730" i="65"/>
  <c r="P730" i="65"/>
  <c r="O730" i="65"/>
  <c r="R729" i="65"/>
  <c r="Q729" i="65"/>
  <c r="P729" i="65"/>
  <c r="O729" i="65"/>
  <c r="R728" i="65"/>
  <c r="Q728" i="65"/>
  <c r="P728" i="65"/>
  <c r="O728" i="65"/>
  <c r="R727" i="65"/>
  <c r="Q727" i="65"/>
  <c r="P727" i="65"/>
  <c r="O727" i="65"/>
  <c r="R726" i="65"/>
  <c r="Q726" i="65"/>
  <c r="P726" i="65"/>
  <c r="O726" i="65"/>
  <c r="R725" i="65"/>
  <c r="Q725" i="65"/>
  <c r="P725" i="65"/>
  <c r="O725" i="65"/>
  <c r="R724" i="65"/>
  <c r="Q724" i="65"/>
  <c r="P724" i="65"/>
  <c r="O724" i="65"/>
  <c r="R723" i="65"/>
  <c r="Q723" i="65"/>
  <c r="P723" i="65"/>
  <c r="O723" i="65"/>
  <c r="R722" i="65"/>
  <c r="Q722" i="65"/>
  <c r="P722" i="65"/>
  <c r="O722" i="65"/>
  <c r="R721" i="65"/>
  <c r="Q721" i="65"/>
  <c r="P721" i="65"/>
  <c r="O721" i="65"/>
  <c r="R720" i="65"/>
  <c r="Q720" i="65"/>
  <c r="P720" i="65"/>
  <c r="O720" i="65"/>
  <c r="R719" i="65"/>
  <c r="Q719" i="65"/>
  <c r="P719" i="65"/>
  <c r="O719" i="65"/>
  <c r="R718" i="65"/>
  <c r="Q718" i="65"/>
  <c r="P718" i="65"/>
  <c r="O718" i="65"/>
  <c r="R717" i="65"/>
  <c r="Q717" i="65"/>
  <c r="P717" i="65"/>
  <c r="O717" i="65"/>
  <c r="R716" i="65"/>
  <c r="Q716" i="65"/>
  <c r="P716" i="65"/>
  <c r="O716" i="65"/>
  <c r="R715" i="65"/>
  <c r="Q715" i="65"/>
  <c r="P715" i="65"/>
  <c r="O715" i="65"/>
  <c r="R714" i="65"/>
  <c r="Q714" i="65"/>
  <c r="P714" i="65"/>
  <c r="O714" i="65"/>
  <c r="R713" i="65"/>
  <c r="Q713" i="65"/>
  <c r="P713" i="65"/>
  <c r="O713" i="65"/>
  <c r="R712" i="65"/>
  <c r="Q712" i="65"/>
  <c r="P712" i="65"/>
  <c r="O712" i="65"/>
  <c r="R711" i="65"/>
  <c r="Q711" i="65"/>
  <c r="P711" i="65"/>
  <c r="O711" i="65"/>
  <c r="R710" i="65"/>
  <c r="Q710" i="65"/>
  <c r="P710" i="65"/>
  <c r="O710" i="65"/>
  <c r="R709" i="65"/>
  <c r="Q709" i="65"/>
  <c r="P709" i="65"/>
  <c r="O709" i="65"/>
  <c r="R708" i="65"/>
  <c r="Q708" i="65"/>
  <c r="P708" i="65"/>
  <c r="O708" i="65"/>
  <c r="R707" i="65"/>
  <c r="Q707" i="65"/>
  <c r="P707" i="65"/>
  <c r="O707" i="65"/>
  <c r="R706" i="65"/>
  <c r="Q706" i="65"/>
  <c r="P706" i="65"/>
  <c r="O706" i="65"/>
  <c r="R705" i="65"/>
  <c r="Q705" i="65"/>
  <c r="P705" i="65"/>
  <c r="O705" i="65"/>
  <c r="R704" i="65"/>
  <c r="Q704" i="65"/>
  <c r="P704" i="65"/>
  <c r="O704" i="65"/>
  <c r="R703" i="65"/>
  <c r="Q703" i="65"/>
  <c r="P703" i="65"/>
  <c r="O703" i="65"/>
  <c r="R702" i="65"/>
  <c r="Q702" i="65"/>
  <c r="P702" i="65"/>
  <c r="O702" i="65"/>
  <c r="R701" i="65"/>
  <c r="Q701" i="65"/>
  <c r="P701" i="65"/>
  <c r="O701" i="65"/>
  <c r="R700" i="65"/>
  <c r="Q700" i="65"/>
  <c r="P700" i="65"/>
  <c r="O700" i="65"/>
  <c r="R699" i="65"/>
  <c r="Q699" i="65"/>
  <c r="P699" i="65"/>
  <c r="O699" i="65"/>
  <c r="R698" i="65"/>
  <c r="Q698" i="65"/>
  <c r="P698" i="65"/>
  <c r="O698" i="65"/>
  <c r="R697" i="65"/>
  <c r="Q697" i="65"/>
  <c r="P697" i="65"/>
  <c r="O697" i="65"/>
  <c r="R696" i="65"/>
  <c r="Q696" i="65"/>
  <c r="P696" i="65"/>
  <c r="O696" i="65"/>
  <c r="R695" i="65"/>
  <c r="Q695" i="65"/>
  <c r="P695" i="65"/>
  <c r="O695" i="65"/>
  <c r="R694" i="65"/>
  <c r="Q694" i="65"/>
  <c r="P694" i="65"/>
  <c r="O694" i="65"/>
  <c r="R693" i="65"/>
  <c r="Q693" i="65"/>
  <c r="P693" i="65"/>
  <c r="O693" i="65"/>
  <c r="R692" i="65"/>
  <c r="Q692" i="65"/>
  <c r="P692" i="65"/>
  <c r="O692" i="65"/>
  <c r="R691" i="65"/>
  <c r="Q691" i="65"/>
  <c r="P691" i="65"/>
  <c r="O691" i="65"/>
  <c r="R690" i="65"/>
  <c r="Q690" i="65"/>
  <c r="P690" i="65"/>
  <c r="O690" i="65"/>
  <c r="R689" i="65"/>
  <c r="Q689" i="65"/>
  <c r="P689" i="65"/>
  <c r="O689" i="65"/>
  <c r="R688" i="65"/>
  <c r="Q688" i="65"/>
  <c r="P688" i="65"/>
  <c r="O688" i="65"/>
  <c r="R687" i="65"/>
  <c r="Q687" i="65"/>
  <c r="P687" i="65"/>
  <c r="O687" i="65"/>
  <c r="R686" i="65"/>
  <c r="Q686" i="65"/>
  <c r="P686" i="65"/>
  <c r="O686" i="65"/>
  <c r="R685" i="65"/>
  <c r="Q685" i="65"/>
  <c r="P685" i="65"/>
  <c r="O685" i="65"/>
  <c r="R684" i="65"/>
  <c r="Q684" i="65"/>
  <c r="P684" i="65"/>
  <c r="O684" i="65"/>
  <c r="R683" i="65"/>
  <c r="Q683" i="65"/>
  <c r="P683" i="65"/>
  <c r="O683" i="65"/>
  <c r="R682" i="65"/>
  <c r="Q682" i="65"/>
  <c r="P682" i="65"/>
  <c r="O682" i="65"/>
  <c r="R681" i="65"/>
  <c r="Q681" i="65"/>
  <c r="P681" i="65"/>
  <c r="O681" i="65"/>
  <c r="R680" i="65"/>
  <c r="Q680" i="65"/>
  <c r="P680" i="65"/>
  <c r="O680" i="65"/>
  <c r="R679" i="65"/>
  <c r="Q679" i="65"/>
  <c r="P679" i="65"/>
  <c r="O679" i="65"/>
  <c r="R678" i="65"/>
  <c r="Q678" i="65"/>
  <c r="P678" i="65"/>
  <c r="O678" i="65"/>
  <c r="R677" i="65"/>
  <c r="Q677" i="65"/>
  <c r="P677" i="65"/>
  <c r="O677" i="65"/>
  <c r="R676" i="65"/>
  <c r="Q676" i="65"/>
  <c r="P676" i="65"/>
  <c r="O676" i="65"/>
  <c r="R675" i="65"/>
  <c r="Q675" i="65"/>
  <c r="P675" i="65"/>
  <c r="O675" i="65"/>
  <c r="R674" i="65"/>
  <c r="Q674" i="65"/>
  <c r="P674" i="65"/>
  <c r="O674" i="65"/>
  <c r="R673" i="65"/>
  <c r="Q673" i="65"/>
  <c r="P673" i="65"/>
  <c r="O673" i="65"/>
  <c r="R672" i="65"/>
  <c r="Q672" i="65"/>
  <c r="P672" i="65"/>
  <c r="O672" i="65"/>
  <c r="R671" i="65"/>
  <c r="Q671" i="65"/>
  <c r="P671" i="65"/>
  <c r="O671" i="65"/>
  <c r="R670" i="65"/>
  <c r="Q670" i="65"/>
  <c r="P670" i="65"/>
  <c r="O670" i="65"/>
  <c r="R669" i="65"/>
  <c r="Q669" i="65"/>
  <c r="P669" i="65"/>
  <c r="O669" i="65"/>
  <c r="R668" i="65"/>
  <c r="Q668" i="65"/>
  <c r="P668" i="65"/>
  <c r="O668" i="65"/>
  <c r="R667" i="65"/>
  <c r="Q667" i="65"/>
  <c r="P667" i="65"/>
  <c r="O667" i="65"/>
  <c r="R666" i="65"/>
  <c r="Q666" i="65"/>
  <c r="P666" i="65"/>
  <c r="O666" i="65"/>
  <c r="R665" i="65"/>
  <c r="Q665" i="65"/>
  <c r="P665" i="65"/>
  <c r="O665" i="65"/>
  <c r="R664" i="65"/>
  <c r="Q664" i="65"/>
  <c r="P664" i="65"/>
  <c r="O664" i="65"/>
  <c r="R663" i="65"/>
  <c r="Q663" i="65"/>
  <c r="P663" i="65"/>
  <c r="O663" i="65"/>
  <c r="R662" i="65"/>
  <c r="Q662" i="65"/>
  <c r="P662" i="65"/>
  <c r="O662" i="65"/>
  <c r="R661" i="65"/>
  <c r="Q661" i="65"/>
  <c r="P661" i="65"/>
  <c r="O661" i="65"/>
  <c r="R660" i="65"/>
  <c r="Q660" i="65"/>
  <c r="P660" i="65"/>
  <c r="O660" i="65"/>
  <c r="R659" i="65"/>
  <c r="Q659" i="65"/>
  <c r="P659" i="65"/>
  <c r="O659" i="65"/>
  <c r="R658" i="65"/>
  <c r="Q658" i="65"/>
  <c r="P658" i="65"/>
  <c r="O658" i="65"/>
  <c r="R657" i="65"/>
  <c r="Q657" i="65"/>
  <c r="P657" i="65"/>
  <c r="O657" i="65"/>
  <c r="R656" i="65"/>
  <c r="Q656" i="65"/>
  <c r="P656" i="65"/>
  <c r="O656" i="65"/>
  <c r="R655" i="65"/>
  <c r="Q655" i="65"/>
  <c r="P655" i="65"/>
  <c r="O655" i="65"/>
  <c r="R654" i="65"/>
  <c r="Q654" i="65"/>
  <c r="P654" i="65"/>
  <c r="O654" i="65"/>
  <c r="R653" i="65"/>
  <c r="Q653" i="65"/>
  <c r="P653" i="65"/>
  <c r="O653" i="65"/>
  <c r="R652" i="65"/>
  <c r="Q652" i="65"/>
  <c r="P652" i="65"/>
  <c r="O652" i="65"/>
  <c r="R651" i="65"/>
  <c r="Q651" i="65"/>
  <c r="P651" i="65"/>
  <c r="O651" i="65"/>
  <c r="R650" i="65"/>
  <c r="Q650" i="65"/>
  <c r="P650" i="65"/>
  <c r="O650" i="65"/>
  <c r="R649" i="65"/>
  <c r="Q649" i="65"/>
  <c r="P649" i="65"/>
  <c r="O649" i="65"/>
  <c r="R648" i="65"/>
  <c r="Q648" i="65"/>
  <c r="P648" i="65"/>
  <c r="O648" i="65"/>
  <c r="R647" i="65"/>
  <c r="Q647" i="65"/>
  <c r="P647" i="65"/>
  <c r="O647" i="65"/>
  <c r="R646" i="65"/>
  <c r="Q646" i="65"/>
  <c r="P646" i="65"/>
  <c r="O646" i="65"/>
  <c r="R645" i="65"/>
  <c r="Q645" i="65"/>
  <c r="P645" i="65"/>
  <c r="O645" i="65"/>
  <c r="R644" i="65"/>
  <c r="Q644" i="65"/>
  <c r="P644" i="65"/>
  <c r="O644" i="65"/>
  <c r="R643" i="65"/>
  <c r="Q643" i="65"/>
  <c r="P643" i="65"/>
  <c r="O643" i="65"/>
  <c r="R642" i="65"/>
  <c r="Q642" i="65"/>
  <c r="P642" i="65"/>
  <c r="O642" i="65"/>
  <c r="R641" i="65"/>
  <c r="Q641" i="65"/>
  <c r="P641" i="65"/>
  <c r="O641" i="65"/>
  <c r="R640" i="65"/>
  <c r="Q640" i="65"/>
  <c r="P640" i="65"/>
  <c r="O640" i="65"/>
  <c r="R639" i="65"/>
  <c r="Q639" i="65"/>
  <c r="P639" i="65"/>
  <c r="O639" i="65"/>
  <c r="R638" i="65"/>
  <c r="Q638" i="65"/>
  <c r="P638" i="65"/>
  <c r="O638" i="65"/>
  <c r="R637" i="65"/>
  <c r="Q637" i="65"/>
  <c r="P637" i="65"/>
  <c r="O637" i="65"/>
  <c r="R636" i="65"/>
  <c r="Q636" i="65"/>
  <c r="P636" i="65"/>
  <c r="O636" i="65"/>
  <c r="R635" i="65"/>
  <c r="Q635" i="65"/>
  <c r="P635" i="65"/>
  <c r="O635" i="65"/>
  <c r="R634" i="65"/>
  <c r="Q634" i="65"/>
  <c r="P634" i="65"/>
  <c r="O634" i="65"/>
  <c r="R633" i="65"/>
  <c r="Q633" i="65"/>
  <c r="P633" i="65"/>
  <c r="O633" i="65"/>
  <c r="R632" i="65"/>
  <c r="Q632" i="65"/>
  <c r="P632" i="65"/>
  <c r="O632" i="65"/>
  <c r="R631" i="65"/>
  <c r="Q631" i="65"/>
  <c r="P631" i="65"/>
  <c r="O631" i="65"/>
  <c r="R630" i="65"/>
  <c r="Q630" i="65"/>
  <c r="P630" i="65"/>
  <c r="O630" i="65"/>
  <c r="R629" i="65"/>
  <c r="Q629" i="65"/>
  <c r="P629" i="65"/>
  <c r="O629" i="65"/>
  <c r="R628" i="65"/>
  <c r="Q628" i="65"/>
  <c r="P628" i="65"/>
  <c r="O628" i="65"/>
  <c r="R627" i="65"/>
  <c r="Q627" i="65"/>
  <c r="P627" i="65"/>
  <c r="O627" i="65"/>
  <c r="R626" i="65"/>
  <c r="Q626" i="65"/>
  <c r="P626" i="65"/>
  <c r="O626" i="65"/>
  <c r="R625" i="65"/>
  <c r="Q625" i="65"/>
  <c r="P625" i="65"/>
  <c r="O625" i="65"/>
  <c r="R624" i="65"/>
  <c r="Q624" i="65"/>
  <c r="P624" i="65"/>
  <c r="O624" i="65"/>
  <c r="R623" i="65"/>
  <c r="Q623" i="65"/>
  <c r="P623" i="65"/>
  <c r="O623" i="65"/>
  <c r="R622" i="65"/>
  <c r="Q622" i="65"/>
  <c r="P622" i="65"/>
  <c r="O622" i="65"/>
  <c r="R621" i="65"/>
  <c r="Q621" i="65"/>
  <c r="P621" i="65"/>
  <c r="O621" i="65"/>
  <c r="R620" i="65"/>
  <c r="Q620" i="65"/>
  <c r="P620" i="65"/>
  <c r="O620" i="65"/>
  <c r="R619" i="65"/>
  <c r="Q619" i="65"/>
  <c r="P619" i="65"/>
  <c r="O619" i="65"/>
  <c r="R618" i="65"/>
  <c r="Q618" i="65"/>
  <c r="P618" i="65"/>
  <c r="O618" i="65"/>
  <c r="R617" i="65"/>
  <c r="Q617" i="65"/>
  <c r="P617" i="65"/>
  <c r="O617" i="65"/>
  <c r="R616" i="65"/>
  <c r="Q616" i="65"/>
  <c r="P616" i="65"/>
  <c r="O616" i="65"/>
  <c r="R615" i="65"/>
  <c r="Q615" i="65"/>
  <c r="P615" i="65"/>
  <c r="O615" i="65"/>
  <c r="R614" i="65"/>
  <c r="Q614" i="65"/>
  <c r="P614" i="65"/>
  <c r="O614" i="65"/>
  <c r="R613" i="65"/>
  <c r="Q613" i="65"/>
  <c r="P613" i="65"/>
  <c r="O613" i="65"/>
  <c r="R612" i="65"/>
  <c r="Q612" i="65"/>
  <c r="P612" i="65"/>
  <c r="O612" i="65"/>
  <c r="R611" i="65"/>
  <c r="Q611" i="65"/>
  <c r="P611" i="65"/>
  <c r="O611" i="65"/>
  <c r="R610" i="65"/>
  <c r="Q610" i="65"/>
  <c r="P610" i="65"/>
  <c r="O610" i="65"/>
  <c r="R609" i="65"/>
  <c r="Q609" i="65"/>
  <c r="P609" i="65"/>
  <c r="O609" i="65"/>
  <c r="R608" i="65"/>
  <c r="Q608" i="65"/>
  <c r="P608" i="65"/>
  <c r="O608" i="65"/>
  <c r="R607" i="65"/>
  <c r="Q607" i="65"/>
  <c r="P607" i="65"/>
  <c r="O607" i="65"/>
  <c r="R606" i="65"/>
  <c r="Q606" i="65"/>
  <c r="P606" i="65"/>
  <c r="O606" i="65"/>
  <c r="R605" i="65"/>
  <c r="Q605" i="65"/>
  <c r="P605" i="65"/>
  <c r="O605" i="65"/>
  <c r="R604" i="65"/>
  <c r="Q604" i="65"/>
  <c r="P604" i="65"/>
  <c r="O604" i="65"/>
  <c r="R603" i="65"/>
  <c r="Q603" i="65"/>
  <c r="P603" i="65"/>
  <c r="O603" i="65"/>
  <c r="R602" i="65"/>
  <c r="Q602" i="65"/>
  <c r="P602" i="65"/>
  <c r="O602" i="65"/>
  <c r="R601" i="65"/>
  <c r="Q601" i="65"/>
  <c r="P601" i="65"/>
  <c r="O601" i="65"/>
  <c r="R600" i="65"/>
  <c r="Q600" i="65"/>
  <c r="P600" i="65"/>
  <c r="O600" i="65"/>
  <c r="R599" i="65"/>
  <c r="Q599" i="65"/>
  <c r="P599" i="65"/>
  <c r="O599" i="65"/>
  <c r="R598" i="65"/>
  <c r="Q598" i="65"/>
  <c r="P598" i="65"/>
  <c r="O598" i="65"/>
  <c r="R597" i="65"/>
  <c r="Q597" i="65"/>
  <c r="P597" i="65"/>
  <c r="O597" i="65"/>
  <c r="R596" i="65"/>
  <c r="Q596" i="65"/>
  <c r="P596" i="65"/>
  <c r="O596" i="65"/>
  <c r="R595" i="65"/>
  <c r="Q595" i="65"/>
  <c r="P595" i="65"/>
  <c r="O595" i="65"/>
  <c r="R594" i="65"/>
  <c r="Q594" i="65"/>
  <c r="P594" i="65"/>
  <c r="O594" i="65"/>
  <c r="R593" i="65"/>
  <c r="Q593" i="65"/>
  <c r="P593" i="65"/>
  <c r="O593" i="65"/>
  <c r="R592" i="65"/>
  <c r="Q592" i="65"/>
  <c r="P592" i="65"/>
  <c r="O592" i="65"/>
  <c r="R591" i="65"/>
  <c r="Q591" i="65"/>
  <c r="P591" i="65"/>
  <c r="O591" i="65"/>
  <c r="R590" i="65"/>
  <c r="Q590" i="65"/>
  <c r="P590" i="65"/>
  <c r="O590" i="65"/>
  <c r="R589" i="65"/>
  <c r="Q589" i="65"/>
  <c r="P589" i="65"/>
  <c r="O589" i="65"/>
  <c r="R588" i="65"/>
  <c r="Q588" i="65"/>
  <c r="P588" i="65"/>
  <c r="O588" i="65"/>
  <c r="R587" i="65"/>
  <c r="Q587" i="65"/>
  <c r="P587" i="65"/>
  <c r="O587" i="65"/>
  <c r="R586" i="65"/>
  <c r="Q586" i="65"/>
  <c r="P586" i="65"/>
  <c r="O586" i="65"/>
  <c r="R585" i="65"/>
  <c r="Q585" i="65"/>
  <c r="P585" i="65"/>
  <c r="O585" i="65"/>
  <c r="R584" i="65"/>
  <c r="Q584" i="65"/>
  <c r="P584" i="65"/>
  <c r="O584" i="65"/>
  <c r="R583" i="65"/>
  <c r="Q583" i="65"/>
  <c r="P583" i="65"/>
  <c r="O583" i="65"/>
  <c r="R582" i="65"/>
  <c r="Q582" i="65"/>
  <c r="P582" i="65"/>
  <c r="O582" i="65"/>
  <c r="R581" i="65"/>
  <c r="Q581" i="65"/>
  <c r="P581" i="65"/>
  <c r="O581" i="65"/>
  <c r="R580" i="65"/>
  <c r="Q580" i="65"/>
  <c r="P580" i="65"/>
  <c r="O580" i="65"/>
  <c r="R579" i="65"/>
  <c r="Q579" i="65"/>
  <c r="P579" i="65"/>
  <c r="O579" i="65"/>
  <c r="R578" i="65"/>
  <c r="Q578" i="65"/>
  <c r="P578" i="65"/>
  <c r="O578" i="65"/>
  <c r="R577" i="65"/>
  <c r="Q577" i="65"/>
  <c r="P577" i="65"/>
  <c r="O577" i="65"/>
  <c r="R576" i="65"/>
  <c r="Q576" i="65"/>
  <c r="P576" i="65"/>
  <c r="O576" i="65"/>
  <c r="R575" i="65"/>
  <c r="Q575" i="65"/>
  <c r="P575" i="65"/>
  <c r="O575" i="65"/>
  <c r="R574" i="65"/>
  <c r="Q574" i="65"/>
  <c r="P574" i="65"/>
  <c r="O574" i="65"/>
  <c r="R573" i="65"/>
  <c r="Q573" i="65"/>
  <c r="P573" i="65"/>
  <c r="O573" i="65"/>
  <c r="R572" i="65"/>
  <c r="Q572" i="65"/>
  <c r="P572" i="65"/>
  <c r="O572" i="65"/>
  <c r="R571" i="65"/>
  <c r="Q571" i="65"/>
  <c r="P571" i="65"/>
  <c r="O571" i="65"/>
  <c r="R570" i="65"/>
  <c r="Q570" i="65"/>
  <c r="P570" i="65"/>
  <c r="O570" i="65"/>
  <c r="R569" i="65"/>
  <c r="Q569" i="65"/>
  <c r="P569" i="65"/>
  <c r="O569" i="65"/>
  <c r="R568" i="65"/>
  <c r="Q568" i="65"/>
  <c r="P568" i="65"/>
  <c r="O568" i="65"/>
  <c r="R567" i="65"/>
  <c r="Q567" i="65"/>
  <c r="P567" i="65"/>
  <c r="O567" i="65"/>
  <c r="R566" i="65"/>
  <c r="Q566" i="65"/>
  <c r="P566" i="65"/>
  <c r="O566" i="65"/>
  <c r="R565" i="65"/>
  <c r="Q565" i="65"/>
  <c r="P565" i="65"/>
  <c r="O565" i="65"/>
  <c r="R564" i="65"/>
  <c r="Q564" i="65"/>
  <c r="P564" i="65"/>
  <c r="O564" i="65"/>
  <c r="R563" i="65"/>
  <c r="Q563" i="65"/>
  <c r="P563" i="65"/>
  <c r="O563" i="65"/>
  <c r="R562" i="65"/>
  <c r="Q562" i="65"/>
  <c r="P562" i="65"/>
  <c r="O562" i="65"/>
  <c r="R561" i="65"/>
  <c r="Q561" i="65"/>
  <c r="P561" i="65"/>
  <c r="O561" i="65"/>
  <c r="R560" i="65"/>
  <c r="Q560" i="65"/>
  <c r="P560" i="65"/>
  <c r="O560" i="65"/>
  <c r="R559" i="65"/>
  <c r="Q559" i="65"/>
  <c r="P559" i="65"/>
  <c r="O559" i="65"/>
  <c r="R558" i="65"/>
  <c r="Q558" i="65"/>
  <c r="P558" i="65"/>
  <c r="O558" i="65"/>
  <c r="R557" i="65"/>
  <c r="Q557" i="65"/>
  <c r="P557" i="65"/>
  <c r="O557" i="65"/>
  <c r="R556" i="65"/>
  <c r="Q556" i="65"/>
  <c r="P556" i="65"/>
  <c r="O556" i="65"/>
  <c r="R555" i="65"/>
  <c r="Q555" i="65"/>
  <c r="P555" i="65"/>
  <c r="O555" i="65"/>
  <c r="R554" i="65"/>
  <c r="Q554" i="65"/>
  <c r="P554" i="65"/>
  <c r="O554" i="65"/>
  <c r="R553" i="65"/>
  <c r="Q553" i="65"/>
  <c r="P553" i="65"/>
  <c r="O553" i="65"/>
  <c r="R552" i="65"/>
  <c r="Q552" i="65"/>
  <c r="P552" i="65"/>
  <c r="O552" i="65"/>
  <c r="R551" i="65"/>
  <c r="Q551" i="65"/>
  <c r="P551" i="65"/>
  <c r="O551" i="65"/>
  <c r="R550" i="65"/>
  <c r="Q550" i="65"/>
  <c r="P550" i="65"/>
  <c r="O550" i="65"/>
  <c r="R549" i="65"/>
  <c r="Q549" i="65"/>
  <c r="P549" i="65"/>
  <c r="O549" i="65"/>
  <c r="R548" i="65"/>
  <c r="Q548" i="65"/>
  <c r="P548" i="65"/>
  <c r="O548" i="65"/>
  <c r="R547" i="65"/>
  <c r="Q547" i="65"/>
  <c r="P547" i="65"/>
  <c r="O547" i="65"/>
  <c r="R546" i="65"/>
  <c r="Q546" i="65"/>
  <c r="P546" i="65"/>
  <c r="O546" i="65"/>
  <c r="R545" i="65"/>
  <c r="Q545" i="65"/>
  <c r="P545" i="65"/>
  <c r="O545" i="65"/>
  <c r="R544" i="65"/>
  <c r="Q544" i="65"/>
  <c r="P544" i="65"/>
  <c r="O544" i="65"/>
  <c r="R543" i="65"/>
  <c r="Q543" i="65"/>
  <c r="P543" i="65"/>
  <c r="O543" i="65"/>
  <c r="R542" i="65"/>
  <c r="Q542" i="65"/>
  <c r="P542" i="65"/>
  <c r="O542" i="65"/>
  <c r="R541" i="65"/>
  <c r="Q541" i="65"/>
  <c r="P541" i="65"/>
  <c r="O541" i="65"/>
  <c r="R540" i="65"/>
  <c r="Q540" i="65"/>
  <c r="P540" i="65"/>
  <c r="O540" i="65"/>
  <c r="R539" i="65"/>
  <c r="Q539" i="65"/>
  <c r="P539" i="65"/>
  <c r="O539" i="65"/>
  <c r="R538" i="65"/>
  <c r="Q538" i="65"/>
  <c r="P538" i="65"/>
  <c r="O538" i="65"/>
  <c r="R537" i="65"/>
  <c r="Q537" i="65"/>
  <c r="P537" i="65"/>
  <c r="O537" i="65"/>
  <c r="R536" i="65"/>
  <c r="Q536" i="65"/>
  <c r="P536" i="65"/>
  <c r="O536" i="65"/>
  <c r="R535" i="65"/>
  <c r="Q535" i="65"/>
  <c r="P535" i="65"/>
  <c r="O535" i="65"/>
  <c r="R534" i="65"/>
  <c r="Q534" i="65"/>
  <c r="P534" i="65"/>
  <c r="O534" i="65"/>
  <c r="R533" i="65"/>
  <c r="Q533" i="65"/>
  <c r="P533" i="65"/>
  <c r="O533" i="65"/>
  <c r="R532" i="65"/>
  <c r="Q532" i="65"/>
  <c r="P532" i="65"/>
  <c r="O532" i="65"/>
  <c r="R531" i="65"/>
  <c r="Q531" i="65"/>
  <c r="P531" i="65"/>
  <c r="O531" i="65"/>
  <c r="R530" i="65"/>
  <c r="Q530" i="65"/>
  <c r="P530" i="65"/>
  <c r="O530" i="65"/>
  <c r="R529" i="65"/>
  <c r="Q529" i="65"/>
  <c r="P529" i="65"/>
  <c r="O529" i="65"/>
  <c r="R528" i="65"/>
  <c r="Q528" i="65"/>
  <c r="P528" i="65"/>
  <c r="O528" i="65"/>
  <c r="R527" i="65"/>
  <c r="Q527" i="65"/>
  <c r="P527" i="65"/>
  <c r="O527" i="65"/>
  <c r="R526" i="65"/>
  <c r="Q526" i="65"/>
  <c r="P526" i="65"/>
  <c r="O526" i="65"/>
  <c r="R525" i="65"/>
  <c r="Q525" i="65"/>
  <c r="P525" i="65"/>
  <c r="O525" i="65"/>
  <c r="R524" i="65"/>
  <c r="Q524" i="65"/>
  <c r="P524" i="65"/>
  <c r="O524" i="65"/>
  <c r="R523" i="65"/>
  <c r="Q523" i="65"/>
  <c r="P523" i="65"/>
  <c r="O523" i="65"/>
  <c r="R522" i="65"/>
  <c r="Q522" i="65"/>
  <c r="P522" i="65"/>
  <c r="O522" i="65"/>
  <c r="R521" i="65"/>
  <c r="Q521" i="65"/>
  <c r="P521" i="65"/>
  <c r="O521" i="65"/>
  <c r="R520" i="65"/>
  <c r="Q520" i="65"/>
  <c r="P520" i="65"/>
  <c r="O520" i="65"/>
  <c r="R519" i="65"/>
  <c r="Q519" i="65"/>
  <c r="P519" i="65"/>
  <c r="O519" i="65"/>
  <c r="R518" i="65"/>
  <c r="Q518" i="65"/>
  <c r="P518" i="65"/>
  <c r="O518" i="65"/>
  <c r="R517" i="65"/>
  <c r="Q517" i="65"/>
  <c r="P517" i="65"/>
  <c r="O517" i="65"/>
  <c r="R516" i="65"/>
  <c r="Q516" i="65"/>
  <c r="P516" i="65"/>
  <c r="O516" i="65"/>
  <c r="R515" i="65"/>
  <c r="Q515" i="65"/>
  <c r="P515" i="65"/>
  <c r="O515" i="65"/>
  <c r="R514" i="65"/>
  <c r="Q514" i="65"/>
  <c r="P514" i="65"/>
  <c r="O514" i="65"/>
  <c r="R513" i="65"/>
  <c r="Q513" i="65"/>
  <c r="P513" i="65"/>
  <c r="O513" i="65"/>
  <c r="R512" i="65"/>
  <c r="Q512" i="65"/>
  <c r="P512" i="65"/>
  <c r="O512" i="65"/>
  <c r="R511" i="65"/>
  <c r="Q511" i="65"/>
  <c r="P511" i="65"/>
  <c r="O511" i="65"/>
  <c r="R510" i="65"/>
  <c r="Q510" i="65"/>
  <c r="P510" i="65"/>
  <c r="O510" i="65"/>
  <c r="R509" i="65"/>
  <c r="Q509" i="65"/>
  <c r="P509" i="65"/>
  <c r="O509" i="65"/>
  <c r="R508" i="65"/>
  <c r="Q508" i="65"/>
  <c r="P508" i="65"/>
  <c r="O508" i="65"/>
  <c r="R507" i="65"/>
  <c r="Q507" i="65"/>
  <c r="P507" i="65"/>
  <c r="O507" i="65"/>
  <c r="R506" i="65"/>
  <c r="Q506" i="65"/>
  <c r="P506" i="65"/>
  <c r="O506" i="65"/>
  <c r="R505" i="65"/>
  <c r="Q505" i="65"/>
  <c r="P505" i="65"/>
  <c r="O505" i="65"/>
  <c r="R504" i="65"/>
  <c r="Q504" i="65"/>
  <c r="P504" i="65"/>
  <c r="O504" i="65"/>
  <c r="R503" i="65"/>
  <c r="Q503" i="65"/>
  <c r="P503" i="65"/>
  <c r="O503" i="65"/>
  <c r="R502" i="65"/>
  <c r="Q502" i="65"/>
  <c r="P502" i="65"/>
  <c r="O502" i="65"/>
  <c r="R501" i="65"/>
  <c r="Q501" i="65"/>
  <c r="P501" i="65"/>
  <c r="O501" i="65"/>
  <c r="R500" i="65"/>
  <c r="Q500" i="65"/>
  <c r="P500" i="65"/>
  <c r="O500" i="65"/>
  <c r="R499" i="65"/>
  <c r="Q499" i="65"/>
  <c r="P499" i="65"/>
  <c r="O499" i="65"/>
  <c r="R498" i="65"/>
  <c r="Q498" i="65"/>
  <c r="P498" i="65"/>
  <c r="O498" i="65"/>
  <c r="R497" i="65"/>
  <c r="Q497" i="65"/>
  <c r="P497" i="65"/>
  <c r="O497" i="65"/>
  <c r="R496" i="65"/>
  <c r="Q496" i="65"/>
  <c r="P496" i="65"/>
  <c r="O496" i="65"/>
  <c r="R495" i="65"/>
  <c r="Q495" i="65"/>
  <c r="P495" i="65"/>
  <c r="O495" i="65"/>
  <c r="R494" i="65"/>
  <c r="Q494" i="65"/>
  <c r="P494" i="65"/>
  <c r="O494" i="65"/>
  <c r="R493" i="65"/>
  <c r="Q493" i="65"/>
  <c r="P493" i="65"/>
  <c r="O493" i="65"/>
  <c r="R492" i="65"/>
  <c r="Q492" i="65"/>
  <c r="P492" i="65"/>
  <c r="O492" i="65"/>
  <c r="R491" i="65"/>
  <c r="Q491" i="65"/>
  <c r="P491" i="65"/>
  <c r="O491" i="65"/>
  <c r="R490" i="65"/>
  <c r="Q490" i="65"/>
  <c r="P490" i="65"/>
  <c r="O490" i="65"/>
  <c r="R489" i="65"/>
  <c r="Q489" i="65"/>
  <c r="P489" i="65"/>
  <c r="O489" i="65"/>
  <c r="R488" i="65"/>
  <c r="Q488" i="65"/>
  <c r="P488" i="65"/>
  <c r="O488" i="65"/>
  <c r="R487" i="65"/>
  <c r="Q487" i="65"/>
  <c r="P487" i="65"/>
  <c r="O487" i="65"/>
  <c r="R486" i="65"/>
  <c r="Q486" i="65"/>
  <c r="P486" i="65"/>
  <c r="O486" i="65"/>
  <c r="R485" i="65"/>
  <c r="Q485" i="65"/>
  <c r="P485" i="65"/>
  <c r="O485" i="65"/>
  <c r="R484" i="65"/>
  <c r="Q484" i="65"/>
  <c r="P484" i="65"/>
  <c r="O484" i="65"/>
  <c r="R483" i="65"/>
  <c r="Q483" i="65"/>
  <c r="P483" i="65"/>
  <c r="O483" i="65"/>
  <c r="R482" i="65"/>
  <c r="Q482" i="65"/>
  <c r="P482" i="65"/>
  <c r="O482" i="65"/>
  <c r="R481" i="65"/>
  <c r="Q481" i="65"/>
  <c r="P481" i="65"/>
  <c r="O481" i="65"/>
  <c r="R480" i="65"/>
  <c r="Q480" i="65"/>
  <c r="P480" i="65"/>
  <c r="O480" i="65"/>
  <c r="R479" i="65"/>
  <c r="Q479" i="65"/>
  <c r="P479" i="65"/>
  <c r="O479" i="65"/>
  <c r="R478" i="65"/>
  <c r="Q478" i="65"/>
  <c r="P478" i="65"/>
  <c r="O478" i="65"/>
  <c r="R477" i="65"/>
  <c r="Q477" i="65"/>
  <c r="P477" i="65"/>
  <c r="O477" i="65"/>
  <c r="R476" i="65"/>
  <c r="Q476" i="65"/>
  <c r="P476" i="65"/>
  <c r="O476" i="65"/>
  <c r="R475" i="65"/>
  <c r="Q475" i="65"/>
  <c r="P475" i="65"/>
  <c r="O475" i="65"/>
  <c r="R474" i="65"/>
  <c r="Q474" i="65"/>
  <c r="P474" i="65"/>
  <c r="O474" i="65"/>
  <c r="R473" i="65"/>
  <c r="Q473" i="65"/>
  <c r="P473" i="65"/>
  <c r="O473" i="65"/>
  <c r="R472" i="65"/>
  <c r="Q472" i="65"/>
  <c r="P472" i="65"/>
  <c r="O472" i="65"/>
  <c r="R471" i="65"/>
  <c r="Q471" i="65"/>
  <c r="P471" i="65"/>
  <c r="O471" i="65"/>
  <c r="R470" i="65"/>
  <c r="Q470" i="65"/>
  <c r="P470" i="65"/>
  <c r="O470" i="65"/>
  <c r="R469" i="65"/>
  <c r="Q469" i="65"/>
  <c r="P469" i="65"/>
  <c r="O469" i="65"/>
  <c r="R468" i="65"/>
  <c r="Q468" i="65"/>
  <c r="P468" i="65"/>
  <c r="O468" i="65"/>
  <c r="R467" i="65"/>
  <c r="Q467" i="65"/>
  <c r="P467" i="65"/>
  <c r="O467" i="65"/>
  <c r="R466" i="65"/>
  <c r="Q466" i="65"/>
  <c r="P466" i="65"/>
  <c r="O466" i="65"/>
  <c r="R465" i="65"/>
  <c r="Q465" i="65"/>
  <c r="P465" i="65"/>
  <c r="O465" i="65"/>
  <c r="R464" i="65"/>
  <c r="Q464" i="65"/>
  <c r="P464" i="65"/>
  <c r="O464" i="65"/>
  <c r="R463" i="65"/>
  <c r="Q463" i="65"/>
  <c r="P463" i="65"/>
  <c r="O463" i="65"/>
  <c r="R462" i="65"/>
  <c r="Q462" i="65"/>
  <c r="P462" i="65"/>
  <c r="O462" i="65"/>
  <c r="R461" i="65"/>
  <c r="Q461" i="65"/>
  <c r="P461" i="65"/>
  <c r="O461" i="65"/>
  <c r="R460" i="65"/>
  <c r="Q460" i="65"/>
  <c r="P460" i="65"/>
  <c r="O460" i="65"/>
  <c r="R459" i="65"/>
  <c r="Q459" i="65"/>
  <c r="P459" i="65"/>
  <c r="O459" i="65"/>
  <c r="R458" i="65"/>
  <c r="Q458" i="65"/>
  <c r="P458" i="65"/>
  <c r="O458" i="65"/>
  <c r="R457" i="65"/>
  <c r="Q457" i="65"/>
  <c r="P457" i="65"/>
  <c r="O457" i="65"/>
  <c r="R456" i="65"/>
  <c r="Q456" i="65"/>
  <c r="P456" i="65"/>
  <c r="O456" i="65"/>
  <c r="R455" i="65"/>
  <c r="Q455" i="65"/>
  <c r="P455" i="65"/>
  <c r="O455" i="65"/>
  <c r="R454" i="65"/>
  <c r="Q454" i="65"/>
  <c r="P454" i="65"/>
  <c r="O454" i="65"/>
  <c r="R453" i="65"/>
  <c r="Q453" i="65"/>
  <c r="P453" i="65"/>
  <c r="O453" i="65"/>
  <c r="R452" i="65"/>
  <c r="Q452" i="65"/>
  <c r="P452" i="65"/>
  <c r="O452" i="65"/>
  <c r="R451" i="65"/>
  <c r="Q451" i="65"/>
  <c r="P451" i="65"/>
  <c r="O451" i="65"/>
  <c r="R450" i="65"/>
  <c r="Q450" i="65"/>
  <c r="P450" i="65"/>
  <c r="O450" i="65"/>
  <c r="R449" i="65"/>
  <c r="Q449" i="65"/>
  <c r="P449" i="65"/>
  <c r="O449" i="65"/>
  <c r="R448" i="65"/>
  <c r="Q448" i="65"/>
  <c r="P448" i="65"/>
  <c r="O448" i="65"/>
  <c r="R447" i="65"/>
  <c r="Q447" i="65"/>
  <c r="P447" i="65"/>
  <c r="O447" i="65"/>
  <c r="R446" i="65"/>
  <c r="Q446" i="65"/>
  <c r="P446" i="65"/>
  <c r="O446" i="65"/>
  <c r="R445" i="65"/>
  <c r="Q445" i="65"/>
  <c r="P445" i="65"/>
  <c r="O445" i="65"/>
  <c r="R444" i="65"/>
  <c r="Q444" i="65"/>
  <c r="P444" i="65"/>
  <c r="O444" i="65"/>
  <c r="R443" i="65"/>
  <c r="Q443" i="65"/>
  <c r="P443" i="65"/>
  <c r="O443" i="65"/>
  <c r="R442" i="65"/>
  <c r="Q442" i="65"/>
  <c r="P442" i="65"/>
  <c r="O442" i="65"/>
  <c r="R441" i="65"/>
  <c r="Q441" i="65"/>
  <c r="P441" i="65"/>
  <c r="O441" i="65"/>
  <c r="R440" i="65"/>
  <c r="Q440" i="65"/>
  <c r="P440" i="65"/>
  <c r="O440" i="65"/>
  <c r="R439" i="65"/>
  <c r="Q439" i="65"/>
  <c r="P439" i="65"/>
  <c r="O439" i="65"/>
  <c r="R438" i="65"/>
  <c r="Q438" i="65"/>
  <c r="P438" i="65"/>
  <c r="O438" i="65"/>
  <c r="R437" i="65"/>
  <c r="Q437" i="65"/>
  <c r="P437" i="65"/>
  <c r="O437" i="65"/>
  <c r="R436" i="65"/>
  <c r="Q436" i="65"/>
  <c r="P436" i="65"/>
  <c r="O436" i="65"/>
  <c r="R435" i="65"/>
  <c r="Q435" i="65"/>
  <c r="P435" i="65"/>
  <c r="O435" i="65"/>
  <c r="R434" i="65"/>
  <c r="Q434" i="65"/>
  <c r="P434" i="65"/>
  <c r="O434" i="65"/>
  <c r="R433" i="65"/>
  <c r="Q433" i="65"/>
  <c r="P433" i="65"/>
  <c r="O433" i="65"/>
  <c r="R432" i="65"/>
  <c r="Q432" i="65"/>
  <c r="P432" i="65"/>
  <c r="O432" i="65"/>
  <c r="R431" i="65"/>
  <c r="Q431" i="65"/>
  <c r="P431" i="65"/>
  <c r="O431" i="65"/>
  <c r="R430" i="65"/>
  <c r="Q430" i="65"/>
  <c r="P430" i="65"/>
  <c r="O430" i="65"/>
  <c r="R429" i="65"/>
  <c r="Q429" i="65"/>
  <c r="P429" i="65"/>
  <c r="O429" i="65"/>
  <c r="R428" i="65"/>
  <c r="Q428" i="65"/>
  <c r="P428" i="65"/>
  <c r="O428" i="65"/>
  <c r="R427" i="65"/>
  <c r="Q427" i="65"/>
  <c r="P427" i="65"/>
  <c r="O427" i="65"/>
  <c r="R426" i="65"/>
  <c r="Q426" i="65"/>
  <c r="P426" i="65"/>
  <c r="O426" i="65"/>
  <c r="R425" i="65"/>
  <c r="Q425" i="65"/>
  <c r="P425" i="65"/>
  <c r="O425" i="65"/>
  <c r="R424" i="65"/>
  <c r="Q424" i="65"/>
  <c r="P424" i="65"/>
  <c r="O424" i="65"/>
  <c r="R423" i="65"/>
  <c r="Q423" i="65"/>
  <c r="P423" i="65"/>
  <c r="O423" i="65"/>
  <c r="R422" i="65"/>
  <c r="Q422" i="65"/>
  <c r="P422" i="65"/>
  <c r="O422" i="65"/>
  <c r="R421" i="65"/>
  <c r="Q421" i="65"/>
  <c r="P421" i="65"/>
  <c r="O421" i="65"/>
  <c r="R420" i="65"/>
  <c r="Q420" i="65"/>
  <c r="P420" i="65"/>
  <c r="O420" i="65"/>
  <c r="R419" i="65"/>
  <c r="Q419" i="65"/>
  <c r="P419" i="65"/>
  <c r="O419" i="65"/>
  <c r="R418" i="65"/>
  <c r="Q418" i="65"/>
  <c r="P418" i="65"/>
  <c r="O418" i="65"/>
  <c r="R417" i="65"/>
  <c r="Q417" i="65"/>
  <c r="P417" i="65"/>
  <c r="O417" i="65"/>
  <c r="R416" i="65"/>
  <c r="Q416" i="65"/>
  <c r="P416" i="65"/>
  <c r="O416" i="65"/>
  <c r="R415" i="65"/>
  <c r="Q415" i="65"/>
  <c r="P415" i="65"/>
  <c r="O415" i="65"/>
  <c r="R414" i="65"/>
  <c r="Q414" i="65"/>
  <c r="P414" i="65"/>
  <c r="O414" i="65"/>
  <c r="R413" i="65"/>
  <c r="Q413" i="65"/>
  <c r="P413" i="65"/>
  <c r="O413" i="65"/>
  <c r="R412" i="65"/>
  <c r="Q412" i="65"/>
  <c r="P412" i="65"/>
  <c r="O412" i="65"/>
  <c r="R411" i="65"/>
  <c r="Q411" i="65"/>
  <c r="P411" i="65"/>
  <c r="O411" i="65"/>
  <c r="R410" i="65"/>
  <c r="Q410" i="65"/>
  <c r="P410" i="65"/>
  <c r="O410" i="65"/>
  <c r="R409" i="65"/>
  <c r="Q409" i="65"/>
  <c r="P409" i="65"/>
  <c r="O409" i="65"/>
  <c r="R408" i="65"/>
  <c r="Q408" i="65"/>
  <c r="P408" i="65"/>
  <c r="O408" i="65"/>
  <c r="R407" i="65"/>
  <c r="Q407" i="65"/>
  <c r="P407" i="65"/>
  <c r="O407" i="65"/>
  <c r="R406" i="65"/>
  <c r="Q406" i="65"/>
  <c r="P406" i="65"/>
  <c r="O406" i="65"/>
  <c r="R405" i="65"/>
  <c r="Q405" i="65"/>
  <c r="P405" i="65"/>
  <c r="O405" i="65"/>
  <c r="R404" i="65"/>
  <c r="Q404" i="65"/>
  <c r="P404" i="65"/>
  <c r="O404" i="65"/>
  <c r="R403" i="65"/>
  <c r="Q403" i="65"/>
  <c r="P403" i="65"/>
  <c r="O403" i="65"/>
  <c r="R402" i="65"/>
  <c r="Q402" i="65"/>
  <c r="P402" i="65"/>
  <c r="O402" i="65"/>
  <c r="R401" i="65"/>
  <c r="Q401" i="65"/>
  <c r="P401" i="65"/>
  <c r="O401" i="65"/>
  <c r="R400" i="65"/>
  <c r="Q400" i="65"/>
  <c r="P400" i="65"/>
  <c r="O400" i="65"/>
  <c r="R399" i="65"/>
  <c r="Q399" i="65"/>
  <c r="P399" i="65"/>
  <c r="O399" i="65"/>
  <c r="R398" i="65"/>
  <c r="Q398" i="65"/>
  <c r="P398" i="65"/>
  <c r="O398" i="65"/>
  <c r="R397" i="65"/>
  <c r="Q397" i="65"/>
  <c r="P397" i="65"/>
  <c r="O397" i="65"/>
  <c r="R396" i="65"/>
  <c r="Q396" i="65"/>
  <c r="P396" i="65"/>
  <c r="O396" i="65"/>
  <c r="R395" i="65"/>
  <c r="Q395" i="65"/>
  <c r="P395" i="65"/>
  <c r="O395" i="65"/>
  <c r="R394" i="65"/>
  <c r="Q394" i="65"/>
  <c r="P394" i="65"/>
  <c r="O394" i="65"/>
  <c r="R393" i="65"/>
  <c r="Q393" i="65"/>
  <c r="P393" i="65"/>
  <c r="O393" i="65"/>
  <c r="R392" i="65"/>
  <c r="Q392" i="65"/>
  <c r="P392" i="65"/>
  <c r="O392" i="65"/>
  <c r="R391" i="65"/>
  <c r="Q391" i="65"/>
  <c r="P391" i="65"/>
  <c r="O391" i="65"/>
  <c r="R390" i="65"/>
  <c r="Q390" i="65"/>
  <c r="P390" i="65"/>
  <c r="O390" i="65"/>
  <c r="R389" i="65"/>
  <c r="Q389" i="65"/>
  <c r="P389" i="65"/>
  <c r="O389" i="65"/>
  <c r="R388" i="65"/>
  <c r="Q388" i="65"/>
  <c r="P388" i="65"/>
  <c r="O388" i="65"/>
  <c r="R387" i="65"/>
  <c r="Q387" i="65"/>
  <c r="P387" i="65"/>
  <c r="O387" i="65"/>
  <c r="R386" i="65"/>
  <c r="Q386" i="65"/>
  <c r="P386" i="65"/>
  <c r="O386" i="65"/>
  <c r="R385" i="65"/>
  <c r="Q385" i="65"/>
  <c r="P385" i="65"/>
  <c r="O385" i="65"/>
  <c r="R384" i="65"/>
  <c r="Q384" i="65"/>
  <c r="P384" i="65"/>
  <c r="O384" i="65"/>
  <c r="R383" i="65"/>
  <c r="Q383" i="65"/>
  <c r="P383" i="65"/>
  <c r="O383" i="65"/>
  <c r="R382" i="65"/>
  <c r="Q382" i="65"/>
  <c r="P382" i="65"/>
  <c r="O382" i="65"/>
  <c r="R381" i="65"/>
  <c r="Q381" i="65"/>
  <c r="P381" i="65"/>
  <c r="O381" i="65"/>
  <c r="R380" i="65"/>
  <c r="Q380" i="65"/>
  <c r="P380" i="65"/>
  <c r="O380" i="65"/>
  <c r="R379" i="65"/>
  <c r="Q379" i="65"/>
  <c r="P379" i="65"/>
  <c r="O379" i="65"/>
  <c r="R378" i="65"/>
  <c r="Q378" i="65"/>
  <c r="P378" i="65"/>
  <c r="O378" i="65"/>
  <c r="R377" i="65"/>
  <c r="Q377" i="65"/>
  <c r="P377" i="65"/>
  <c r="O377" i="65"/>
  <c r="R376" i="65"/>
  <c r="Q376" i="65"/>
  <c r="P376" i="65"/>
  <c r="O376" i="65"/>
  <c r="R375" i="65"/>
  <c r="Q375" i="65"/>
  <c r="P375" i="65"/>
  <c r="O375" i="65"/>
  <c r="R374" i="65"/>
  <c r="Q374" i="65"/>
  <c r="P374" i="65"/>
  <c r="O374" i="65"/>
  <c r="R373" i="65"/>
  <c r="Q373" i="65"/>
  <c r="P373" i="65"/>
  <c r="O373" i="65"/>
  <c r="R372" i="65"/>
  <c r="Q372" i="65"/>
  <c r="P372" i="65"/>
  <c r="O372" i="65"/>
  <c r="R371" i="65"/>
  <c r="Q371" i="65"/>
  <c r="P371" i="65"/>
  <c r="O371" i="65"/>
  <c r="R370" i="65"/>
  <c r="Q370" i="65"/>
  <c r="P370" i="65"/>
  <c r="O370" i="65"/>
  <c r="R369" i="65"/>
  <c r="Q369" i="65"/>
  <c r="P369" i="65"/>
  <c r="O369" i="65"/>
  <c r="R368" i="65"/>
  <c r="Q368" i="65"/>
  <c r="P368" i="65"/>
  <c r="O368" i="65"/>
  <c r="R367" i="65"/>
  <c r="Q367" i="65"/>
  <c r="P367" i="65"/>
  <c r="O367" i="65"/>
  <c r="R366" i="65"/>
  <c r="Q366" i="65"/>
  <c r="P366" i="65"/>
  <c r="O366" i="65"/>
  <c r="R365" i="65"/>
  <c r="Q365" i="65"/>
  <c r="P365" i="65"/>
  <c r="O365" i="65"/>
  <c r="R364" i="65"/>
  <c r="Q364" i="65"/>
  <c r="P364" i="65"/>
  <c r="O364" i="65"/>
  <c r="R363" i="65"/>
  <c r="Q363" i="65"/>
  <c r="P363" i="65"/>
  <c r="O363" i="65"/>
  <c r="R362" i="65"/>
  <c r="Q362" i="65"/>
  <c r="P362" i="65"/>
  <c r="O362" i="65"/>
  <c r="R361" i="65"/>
  <c r="Q361" i="65"/>
  <c r="P361" i="65"/>
  <c r="O361" i="65"/>
  <c r="R360" i="65"/>
  <c r="Q360" i="65"/>
  <c r="P360" i="65"/>
  <c r="O360" i="65"/>
  <c r="R359" i="65"/>
  <c r="Q359" i="65"/>
  <c r="P359" i="65"/>
  <c r="O359" i="65"/>
  <c r="R358" i="65"/>
  <c r="Q358" i="65"/>
  <c r="P358" i="65"/>
  <c r="O358" i="65"/>
  <c r="R357" i="65"/>
  <c r="Q357" i="65"/>
  <c r="P357" i="65"/>
  <c r="O357" i="65"/>
  <c r="R356" i="65"/>
  <c r="Q356" i="65"/>
  <c r="P356" i="65"/>
  <c r="O356" i="65"/>
  <c r="R355" i="65"/>
  <c r="Q355" i="65"/>
  <c r="P355" i="65"/>
  <c r="O355" i="65"/>
  <c r="R354" i="65"/>
  <c r="Q354" i="65"/>
  <c r="P354" i="65"/>
  <c r="O354" i="65"/>
  <c r="R353" i="65"/>
  <c r="Q353" i="65"/>
  <c r="P353" i="65"/>
  <c r="O353" i="65"/>
  <c r="R352" i="65"/>
  <c r="Q352" i="65"/>
  <c r="P352" i="65"/>
  <c r="O352" i="65"/>
  <c r="R351" i="65"/>
  <c r="Q351" i="65"/>
  <c r="P351" i="65"/>
  <c r="O351" i="65"/>
  <c r="R350" i="65"/>
  <c r="Q350" i="65"/>
  <c r="P350" i="65"/>
  <c r="O350" i="65"/>
  <c r="R349" i="65"/>
  <c r="Q349" i="65"/>
  <c r="P349" i="65"/>
  <c r="O349" i="65"/>
  <c r="R348" i="65"/>
  <c r="Q348" i="65"/>
  <c r="P348" i="65"/>
  <c r="O348" i="65"/>
  <c r="R347" i="65"/>
  <c r="Q347" i="65"/>
  <c r="P347" i="65"/>
  <c r="O347" i="65"/>
  <c r="R346" i="65"/>
  <c r="Q346" i="65"/>
  <c r="P346" i="65"/>
  <c r="O346" i="65"/>
  <c r="R345" i="65"/>
  <c r="Q345" i="65"/>
  <c r="P345" i="65"/>
  <c r="O345" i="65"/>
  <c r="R344" i="65"/>
  <c r="Q344" i="65"/>
  <c r="P344" i="65"/>
  <c r="O344" i="65"/>
  <c r="R343" i="65"/>
  <c r="Q343" i="65"/>
  <c r="P343" i="65"/>
  <c r="O343" i="65"/>
  <c r="R342" i="65"/>
  <c r="Q342" i="65"/>
  <c r="P342" i="65"/>
  <c r="O342" i="65"/>
  <c r="R341" i="65"/>
  <c r="Q341" i="65"/>
  <c r="P341" i="65"/>
  <c r="O341" i="65"/>
  <c r="R340" i="65"/>
  <c r="Q340" i="65"/>
  <c r="P340" i="65"/>
  <c r="O340" i="65"/>
  <c r="R339" i="65"/>
  <c r="Q339" i="65"/>
  <c r="P339" i="65"/>
  <c r="O339" i="65"/>
  <c r="R338" i="65"/>
  <c r="Q338" i="65"/>
  <c r="P338" i="65"/>
  <c r="O338" i="65"/>
  <c r="R337" i="65"/>
  <c r="Q337" i="65"/>
  <c r="P337" i="65"/>
  <c r="O337" i="65"/>
  <c r="R336" i="65"/>
  <c r="Q336" i="65"/>
  <c r="P336" i="65"/>
  <c r="O336" i="65"/>
  <c r="R335" i="65"/>
  <c r="Q335" i="65"/>
  <c r="P335" i="65"/>
  <c r="O335" i="65"/>
  <c r="R334" i="65"/>
  <c r="Q334" i="65"/>
  <c r="P334" i="65"/>
  <c r="O334" i="65"/>
  <c r="R333" i="65"/>
  <c r="Q333" i="65"/>
  <c r="P333" i="65"/>
  <c r="O333" i="65"/>
  <c r="R332" i="65"/>
  <c r="Q332" i="65"/>
  <c r="P332" i="65"/>
  <c r="O332" i="65"/>
  <c r="R331" i="65"/>
  <c r="Q331" i="65"/>
  <c r="P331" i="65"/>
  <c r="O331" i="65"/>
  <c r="R330" i="65"/>
  <c r="Q330" i="65"/>
  <c r="P330" i="65"/>
  <c r="O330" i="65"/>
  <c r="R329" i="65"/>
  <c r="Q329" i="65"/>
  <c r="P329" i="65"/>
  <c r="O329" i="65"/>
  <c r="R328" i="65"/>
  <c r="Q328" i="65"/>
  <c r="P328" i="65"/>
  <c r="O328" i="65"/>
  <c r="R327" i="65"/>
  <c r="Q327" i="65"/>
  <c r="P327" i="65"/>
  <c r="O327" i="65"/>
  <c r="R326" i="65"/>
  <c r="Q326" i="65"/>
  <c r="P326" i="65"/>
  <c r="O326" i="65"/>
  <c r="R325" i="65"/>
  <c r="Q325" i="65"/>
  <c r="P325" i="65"/>
  <c r="O325" i="65"/>
  <c r="R324" i="65"/>
  <c r="Q324" i="65"/>
  <c r="P324" i="65"/>
  <c r="O324" i="65"/>
  <c r="R323" i="65"/>
  <c r="Q323" i="65"/>
  <c r="P323" i="65"/>
  <c r="O323" i="65"/>
  <c r="R322" i="65"/>
  <c r="Q322" i="65"/>
  <c r="P322" i="65"/>
  <c r="O322" i="65"/>
  <c r="R321" i="65"/>
  <c r="Q321" i="65"/>
  <c r="P321" i="65"/>
  <c r="O321" i="65"/>
  <c r="R320" i="65"/>
  <c r="Q320" i="65"/>
  <c r="P320" i="65"/>
  <c r="O320" i="65"/>
  <c r="R319" i="65"/>
  <c r="Q319" i="65"/>
  <c r="P319" i="65"/>
  <c r="O319" i="65"/>
  <c r="R318" i="65"/>
  <c r="Q318" i="65"/>
  <c r="P318" i="65"/>
  <c r="O318" i="65"/>
  <c r="R317" i="65"/>
  <c r="Q317" i="65"/>
  <c r="P317" i="65"/>
  <c r="O317" i="65"/>
  <c r="R316" i="65"/>
  <c r="Q316" i="65"/>
  <c r="P316" i="65"/>
  <c r="O316" i="65"/>
  <c r="R315" i="65"/>
  <c r="Q315" i="65"/>
  <c r="P315" i="65"/>
  <c r="O315" i="65"/>
  <c r="R314" i="65"/>
  <c r="Q314" i="65"/>
  <c r="P314" i="65"/>
  <c r="O314" i="65"/>
  <c r="R313" i="65"/>
  <c r="Q313" i="65"/>
  <c r="P313" i="65"/>
  <c r="O313" i="65"/>
  <c r="R312" i="65"/>
  <c r="Q312" i="65"/>
  <c r="P312" i="65"/>
  <c r="O312" i="65"/>
  <c r="R311" i="65"/>
  <c r="Q311" i="65"/>
  <c r="P311" i="65"/>
  <c r="O311" i="65"/>
  <c r="R310" i="65"/>
  <c r="Q310" i="65"/>
  <c r="P310" i="65"/>
  <c r="O310" i="65"/>
  <c r="R309" i="65"/>
  <c r="Q309" i="65"/>
  <c r="P309" i="65"/>
  <c r="O309" i="65"/>
  <c r="R308" i="65"/>
  <c r="Q308" i="65"/>
  <c r="P308" i="65"/>
  <c r="O308" i="65"/>
  <c r="R307" i="65"/>
  <c r="Q307" i="65"/>
  <c r="P307" i="65"/>
  <c r="O307" i="65"/>
  <c r="R306" i="65"/>
  <c r="Q306" i="65"/>
  <c r="P306" i="65"/>
  <c r="O306" i="65"/>
  <c r="R305" i="65"/>
  <c r="Q305" i="65"/>
  <c r="P305" i="65"/>
  <c r="O305" i="65"/>
  <c r="R304" i="65"/>
  <c r="Q304" i="65"/>
  <c r="P304" i="65"/>
  <c r="O304" i="65"/>
  <c r="R303" i="65"/>
  <c r="Q303" i="65"/>
  <c r="P303" i="65"/>
  <c r="O303" i="65"/>
  <c r="R302" i="65"/>
  <c r="Q302" i="65"/>
  <c r="P302" i="65"/>
  <c r="O302" i="65"/>
  <c r="R301" i="65"/>
  <c r="Q301" i="65"/>
  <c r="P301" i="65"/>
  <c r="O301" i="65"/>
  <c r="R300" i="65"/>
  <c r="Q300" i="65"/>
  <c r="P300" i="65"/>
  <c r="O300" i="65"/>
  <c r="R299" i="65"/>
  <c r="Q299" i="65"/>
  <c r="P299" i="65"/>
  <c r="O299" i="65"/>
  <c r="R298" i="65"/>
  <c r="Q298" i="65"/>
  <c r="P298" i="65"/>
  <c r="O298" i="65"/>
  <c r="R297" i="65"/>
  <c r="Q297" i="65"/>
  <c r="P297" i="65"/>
  <c r="O297" i="65"/>
  <c r="R296" i="65"/>
  <c r="Q296" i="65"/>
  <c r="P296" i="65"/>
  <c r="O296" i="65"/>
  <c r="R295" i="65"/>
  <c r="Q295" i="65"/>
  <c r="P295" i="65"/>
  <c r="O295" i="65"/>
  <c r="R294" i="65"/>
  <c r="Q294" i="65"/>
  <c r="P294" i="65"/>
  <c r="O294" i="65"/>
  <c r="R293" i="65"/>
  <c r="Q293" i="65"/>
  <c r="P293" i="65"/>
  <c r="O293" i="65"/>
  <c r="R292" i="65"/>
  <c r="Q292" i="65"/>
  <c r="P292" i="65"/>
  <c r="O292" i="65"/>
  <c r="R291" i="65"/>
  <c r="Q291" i="65"/>
  <c r="P291" i="65"/>
  <c r="O291" i="65"/>
  <c r="R290" i="65"/>
  <c r="Q290" i="65"/>
  <c r="P290" i="65"/>
  <c r="O290" i="65"/>
  <c r="R289" i="65"/>
  <c r="Q289" i="65"/>
  <c r="P289" i="65"/>
  <c r="O289" i="65"/>
  <c r="R288" i="65"/>
  <c r="Q288" i="65"/>
  <c r="P288" i="65"/>
  <c r="O288" i="65"/>
  <c r="R287" i="65"/>
  <c r="Q287" i="65"/>
  <c r="P287" i="65"/>
  <c r="O287" i="65"/>
  <c r="R286" i="65"/>
  <c r="Q286" i="65"/>
  <c r="P286" i="65"/>
  <c r="O286" i="65"/>
  <c r="R285" i="65"/>
  <c r="Q285" i="65"/>
  <c r="P285" i="65"/>
  <c r="O285" i="65"/>
  <c r="R284" i="65"/>
  <c r="Q284" i="65"/>
  <c r="P284" i="65"/>
  <c r="O284" i="65"/>
  <c r="R283" i="65"/>
  <c r="Q283" i="65"/>
  <c r="P283" i="65"/>
  <c r="O283" i="65"/>
  <c r="R282" i="65"/>
  <c r="Q282" i="65"/>
  <c r="P282" i="65"/>
  <c r="O282" i="65"/>
  <c r="R281" i="65"/>
  <c r="Q281" i="65"/>
  <c r="P281" i="65"/>
  <c r="O281" i="65"/>
  <c r="R280" i="65"/>
  <c r="Q280" i="65"/>
  <c r="P280" i="65"/>
  <c r="O280" i="65"/>
  <c r="R279" i="65"/>
  <c r="Q279" i="65"/>
  <c r="P279" i="65"/>
  <c r="O279" i="65"/>
  <c r="R278" i="65"/>
  <c r="Q278" i="65"/>
  <c r="P278" i="65"/>
  <c r="O278" i="65"/>
  <c r="R277" i="65"/>
  <c r="Q277" i="65"/>
  <c r="P277" i="65"/>
  <c r="O277" i="65"/>
  <c r="R276" i="65"/>
  <c r="Q276" i="65"/>
  <c r="P276" i="65"/>
  <c r="O276" i="65"/>
  <c r="R275" i="65"/>
  <c r="Q275" i="65"/>
  <c r="P275" i="65"/>
  <c r="O275" i="65"/>
  <c r="R274" i="65"/>
  <c r="Q274" i="65"/>
  <c r="P274" i="65"/>
  <c r="O274" i="65"/>
  <c r="R273" i="65"/>
  <c r="Q273" i="65"/>
  <c r="P273" i="65"/>
  <c r="O273" i="65"/>
  <c r="R272" i="65"/>
  <c r="Q272" i="65"/>
  <c r="P272" i="65"/>
  <c r="O272" i="65"/>
  <c r="R271" i="65"/>
  <c r="Q271" i="65"/>
  <c r="P271" i="65"/>
  <c r="O271" i="65"/>
  <c r="R270" i="65"/>
  <c r="Q270" i="65"/>
  <c r="P270" i="65"/>
  <c r="O270" i="65"/>
  <c r="R269" i="65"/>
  <c r="Q269" i="65"/>
  <c r="P269" i="65"/>
  <c r="O269" i="65"/>
  <c r="R268" i="65"/>
  <c r="Q268" i="65"/>
  <c r="P268" i="65"/>
  <c r="O268" i="65"/>
  <c r="R267" i="65"/>
  <c r="Q267" i="65"/>
  <c r="P267" i="65"/>
  <c r="O267" i="65"/>
  <c r="R266" i="65"/>
  <c r="Q266" i="65"/>
  <c r="P266" i="65"/>
  <c r="O266" i="65"/>
  <c r="R265" i="65"/>
  <c r="Q265" i="65"/>
  <c r="P265" i="65"/>
  <c r="O265" i="65"/>
  <c r="R264" i="65"/>
  <c r="Q264" i="65"/>
  <c r="P264" i="65"/>
  <c r="O264" i="65"/>
  <c r="R263" i="65"/>
  <c r="Q263" i="65"/>
  <c r="P263" i="65"/>
  <c r="O263" i="65"/>
  <c r="R262" i="65"/>
  <c r="Q262" i="65"/>
  <c r="P262" i="65"/>
  <c r="O262" i="65"/>
  <c r="R260" i="65"/>
  <c r="Q260" i="65"/>
  <c r="P260" i="65"/>
  <c r="O260" i="65"/>
  <c r="R259" i="65"/>
  <c r="Q259" i="65"/>
  <c r="P259" i="65"/>
  <c r="O259" i="65"/>
  <c r="R258" i="65"/>
  <c r="D364" i="49" s="1"/>
  <c r="Q258" i="65"/>
  <c r="P258" i="65"/>
  <c r="O258" i="65"/>
  <c r="R256" i="65"/>
  <c r="Q256" i="65"/>
  <c r="P256" i="65"/>
  <c r="O256" i="65"/>
  <c r="R255" i="65"/>
  <c r="Q255" i="65"/>
  <c r="P255" i="65"/>
  <c r="O255" i="65"/>
  <c r="R254" i="65"/>
  <c r="Q254" i="65"/>
  <c r="P254" i="65"/>
  <c r="O254" i="65"/>
  <c r="R253" i="65"/>
  <c r="Q253" i="65"/>
  <c r="P253" i="65"/>
  <c r="O253" i="65"/>
  <c r="R252" i="65"/>
  <c r="Q252" i="65"/>
  <c r="P252" i="65"/>
  <c r="O252" i="65"/>
  <c r="R251" i="65"/>
  <c r="Q251" i="65"/>
  <c r="P251" i="65"/>
  <c r="O251" i="65"/>
  <c r="R250" i="65"/>
  <c r="Q250" i="65"/>
  <c r="P250" i="65"/>
  <c r="O250" i="65"/>
  <c r="R248" i="65"/>
  <c r="Q248" i="65"/>
  <c r="P248" i="65"/>
  <c r="O248" i="65"/>
  <c r="R247" i="65"/>
  <c r="Q247" i="65"/>
  <c r="P247" i="65"/>
  <c r="O247" i="65"/>
  <c r="R246" i="65"/>
  <c r="Q246" i="65"/>
  <c r="P246" i="65"/>
  <c r="O246" i="65"/>
  <c r="R245" i="65"/>
  <c r="Q245" i="65"/>
  <c r="P245" i="65"/>
  <c r="O245" i="65"/>
  <c r="R244" i="65"/>
  <c r="Q244" i="65"/>
  <c r="P244" i="65"/>
  <c r="O244" i="65"/>
  <c r="R243" i="65"/>
  <c r="Q243" i="65"/>
  <c r="P243" i="65"/>
  <c r="O243" i="65"/>
  <c r="R242" i="65"/>
  <c r="Q242" i="65"/>
  <c r="P242" i="65"/>
  <c r="O242" i="65"/>
  <c r="R241" i="65"/>
  <c r="Q241" i="65"/>
  <c r="P241" i="65"/>
  <c r="O241" i="65"/>
  <c r="R240" i="65"/>
  <c r="Q240" i="65"/>
  <c r="P240" i="65"/>
  <c r="O240" i="65"/>
  <c r="R239" i="65"/>
  <c r="Q239" i="65"/>
  <c r="P239" i="65"/>
  <c r="O239" i="65"/>
  <c r="R237" i="65"/>
  <c r="Q237" i="65"/>
  <c r="P237" i="65"/>
  <c r="O237" i="65"/>
  <c r="R236" i="65"/>
  <c r="Q236" i="65"/>
  <c r="P236" i="65"/>
  <c r="O236" i="65"/>
  <c r="R235" i="65"/>
  <c r="Q235" i="65"/>
  <c r="P235" i="65"/>
  <c r="O235" i="65"/>
  <c r="R234" i="65"/>
  <c r="Q234" i="65"/>
  <c r="P234" i="65"/>
  <c r="O234" i="65"/>
  <c r="R233" i="65"/>
  <c r="Q233" i="65"/>
  <c r="P233" i="65"/>
  <c r="O233" i="65"/>
  <c r="R232" i="65"/>
  <c r="Q232" i="65"/>
  <c r="P232" i="65"/>
  <c r="O232" i="65"/>
  <c r="R231" i="65"/>
  <c r="Q231" i="65"/>
  <c r="P231" i="65"/>
  <c r="O231" i="65"/>
  <c r="R230" i="65"/>
  <c r="Q230" i="65"/>
  <c r="P230" i="65"/>
  <c r="O230" i="65"/>
  <c r="R229" i="65"/>
  <c r="Q229" i="65"/>
  <c r="P229" i="65"/>
  <c r="O229" i="65"/>
  <c r="R224" i="65"/>
  <c r="Q224" i="65"/>
  <c r="P224" i="65"/>
  <c r="O224" i="65"/>
  <c r="R223" i="65"/>
  <c r="Q223" i="65"/>
  <c r="P223" i="65"/>
  <c r="O223" i="65"/>
  <c r="R222" i="65"/>
  <c r="Q222" i="65"/>
  <c r="P222" i="65"/>
  <c r="O222" i="65"/>
  <c r="R221" i="65"/>
  <c r="Q221" i="65"/>
  <c r="P221" i="65"/>
  <c r="O221" i="65"/>
  <c r="R220" i="65"/>
  <c r="Q220" i="65"/>
  <c r="P220" i="65"/>
  <c r="O220" i="65"/>
  <c r="R219" i="65"/>
  <c r="Q219" i="65"/>
  <c r="P219" i="65"/>
  <c r="O219" i="65"/>
  <c r="R218" i="65"/>
  <c r="Q218" i="65"/>
  <c r="P218" i="65"/>
  <c r="O218" i="65"/>
  <c r="R217" i="65"/>
  <c r="Q217" i="65"/>
  <c r="P217" i="65"/>
  <c r="O217" i="65"/>
  <c r="R216" i="65"/>
  <c r="Q216" i="65"/>
  <c r="P216" i="65"/>
  <c r="O216" i="65"/>
  <c r="R215" i="65"/>
  <c r="Q215" i="65"/>
  <c r="P215" i="65"/>
  <c r="O215" i="65"/>
  <c r="R214" i="65"/>
  <c r="Q214" i="65"/>
  <c r="P214" i="65"/>
  <c r="O214" i="65"/>
  <c r="R213" i="65"/>
  <c r="Q213" i="65"/>
  <c r="P213" i="65"/>
  <c r="O213" i="65"/>
  <c r="R212" i="65"/>
  <c r="Q212" i="65"/>
  <c r="P212" i="65"/>
  <c r="O212" i="65"/>
  <c r="R211" i="65"/>
  <c r="Q211" i="65"/>
  <c r="P211" i="65"/>
  <c r="O211" i="65"/>
  <c r="R210" i="65"/>
  <c r="Q210" i="65"/>
  <c r="P210" i="65"/>
  <c r="O210" i="65"/>
  <c r="R209" i="65"/>
  <c r="Q209" i="65"/>
  <c r="P209" i="65"/>
  <c r="O209" i="65"/>
  <c r="R208" i="65"/>
  <c r="Q208" i="65"/>
  <c r="P208" i="65"/>
  <c r="O208" i="65"/>
  <c r="R207" i="65"/>
  <c r="Q207" i="65"/>
  <c r="P207" i="65"/>
  <c r="O207" i="65"/>
  <c r="R206" i="65"/>
  <c r="Q206" i="65"/>
  <c r="P206" i="65"/>
  <c r="O206" i="65"/>
  <c r="R205" i="65"/>
  <c r="Q205" i="65"/>
  <c r="P205" i="65"/>
  <c r="O205" i="65"/>
  <c r="R204" i="65"/>
  <c r="Q204" i="65"/>
  <c r="P204" i="65"/>
  <c r="O204" i="65"/>
  <c r="R203" i="65"/>
  <c r="Q203" i="65"/>
  <c r="P203" i="65"/>
  <c r="O203" i="65"/>
  <c r="R202" i="65"/>
  <c r="Q202" i="65"/>
  <c r="P202" i="65"/>
  <c r="O202" i="65"/>
  <c r="R201" i="65"/>
  <c r="Q201" i="65"/>
  <c r="P201" i="65"/>
  <c r="O201" i="65"/>
  <c r="R200" i="65"/>
  <c r="Q200" i="65"/>
  <c r="P200" i="65"/>
  <c r="O200" i="65"/>
  <c r="R199" i="65"/>
  <c r="Q199" i="65"/>
  <c r="P199" i="65"/>
  <c r="O199" i="65"/>
  <c r="R198" i="65"/>
  <c r="Q198" i="65"/>
  <c r="P198" i="65"/>
  <c r="O198" i="65"/>
  <c r="R197" i="65"/>
  <c r="Q197" i="65"/>
  <c r="P197" i="65"/>
  <c r="O197" i="65"/>
  <c r="R196" i="65"/>
  <c r="Q196" i="65"/>
  <c r="P196" i="65"/>
  <c r="O196" i="65"/>
  <c r="R195" i="65"/>
  <c r="Q195" i="65"/>
  <c r="P195" i="65"/>
  <c r="O195" i="65"/>
  <c r="R194" i="65"/>
  <c r="Q194" i="65"/>
  <c r="P194" i="65"/>
  <c r="O194" i="65"/>
  <c r="R193" i="65"/>
  <c r="Q193" i="65"/>
  <c r="P193" i="65"/>
  <c r="O193" i="65"/>
  <c r="R192" i="65"/>
  <c r="Q192" i="65"/>
  <c r="P192" i="65"/>
  <c r="O192" i="65"/>
  <c r="R191" i="65"/>
  <c r="Q191" i="65"/>
  <c r="P191" i="65"/>
  <c r="O191" i="65"/>
  <c r="R190" i="65"/>
  <c r="Q190" i="65"/>
  <c r="P190" i="65"/>
  <c r="O190" i="65"/>
  <c r="R189" i="65"/>
  <c r="Q189" i="65"/>
  <c r="P189" i="65"/>
  <c r="O189" i="65"/>
  <c r="R188" i="65"/>
  <c r="Q188" i="65"/>
  <c r="P188" i="65"/>
  <c r="O188" i="65"/>
  <c r="R187" i="65"/>
  <c r="Q187" i="65"/>
  <c r="P187" i="65"/>
  <c r="O187" i="65"/>
  <c r="R186" i="65"/>
  <c r="Q186" i="65"/>
  <c r="P186" i="65"/>
  <c r="O186" i="65"/>
  <c r="R185" i="65"/>
  <c r="Q185" i="65"/>
  <c r="P185" i="65"/>
  <c r="O185" i="65"/>
  <c r="R184" i="65"/>
  <c r="Q184" i="65"/>
  <c r="P184" i="65"/>
  <c r="O184" i="65"/>
  <c r="R183" i="65"/>
  <c r="Q183" i="65"/>
  <c r="P183" i="65"/>
  <c r="O183" i="65"/>
  <c r="R182" i="65"/>
  <c r="Q182" i="65"/>
  <c r="P182" i="65"/>
  <c r="O182" i="65"/>
  <c r="R181" i="65"/>
  <c r="Q181" i="65"/>
  <c r="P181" i="65"/>
  <c r="O181" i="65"/>
  <c r="R180" i="65"/>
  <c r="Q180" i="65"/>
  <c r="P180" i="65"/>
  <c r="O180" i="65"/>
  <c r="R179" i="65"/>
  <c r="Q179" i="65"/>
  <c r="P179" i="65"/>
  <c r="O179" i="65"/>
  <c r="R178" i="65"/>
  <c r="Q178" i="65"/>
  <c r="P178" i="65"/>
  <c r="O178" i="65"/>
  <c r="R177" i="65"/>
  <c r="Q177" i="65"/>
  <c r="P177" i="65"/>
  <c r="O177" i="65"/>
  <c r="R176" i="65"/>
  <c r="Q176" i="65"/>
  <c r="P176" i="65"/>
  <c r="O176" i="65"/>
  <c r="R175" i="65"/>
  <c r="Q175" i="65"/>
  <c r="P175" i="65"/>
  <c r="O175" i="65"/>
  <c r="R174" i="65"/>
  <c r="Q174" i="65"/>
  <c r="P174" i="65"/>
  <c r="O174" i="65"/>
  <c r="R173" i="65"/>
  <c r="Q173" i="65"/>
  <c r="P173" i="65"/>
  <c r="O173" i="65"/>
  <c r="R172" i="65"/>
  <c r="Q172" i="65"/>
  <c r="P172" i="65"/>
  <c r="O172" i="65"/>
  <c r="R171" i="65"/>
  <c r="Q171" i="65"/>
  <c r="P171" i="65"/>
  <c r="O171" i="65"/>
  <c r="R170" i="65"/>
  <c r="Q170" i="65"/>
  <c r="P170" i="65"/>
  <c r="O170" i="65"/>
  <c r="R169" i="65"/>
  <c r="Q169" i="65"/>
  <c r="P169" i="65"/>
  <c r="O169" i="65"/>
  <c r="R168" i="65"/>
  <c r="Q168" i="65"/>
  <c r="P168" i="65"/>
  <c r="O168" i="65"/>
  <c r="R167" i="65"/>
  <c r="Q167" i="65"/>
  <c r="P167" i="65"/>
  <c r="O167" i="65"/>
  <c r="R166" i="65"/>
  <c r="Q166" i="65"/>
  <c r="P166" i="65"/>
  <c r="O166" i="65"/>
  <c r="R165" i="65"/>
  <c r="Q165" i="65"/>
  <c r="P165" i="65"/>
  <c r="O165" i="65"/>
  <c r="R164" i="65"/>
  <c r="Q164" i="65"/>
  <c r="P164" i="65"/>
  <c r="O164" i="65"/>
  <c r="R163" i="65"/>
  <c r="Q163" i="65"/>
  <c r="P163" i="65"/>
  <c r="O163" i="65"/>
  <c r="R162" i="65"/>
  <c r="Q162" i="65"/>
  <c r="P162" i="65"/>
  <c r="O162" i="65"/>
  <c r="R161" i="65"/>
  <c r="Q161" i="65"/>
  <c r="P161" i="65"/>
  <c r="O161" i="65"/>
  <c r="R160" i="65"/>
  <c r="Q160" i="65"/>
  <c r="P160" i="65"/>
  <c r="O160" i="65"/>
  <c r="R159" i="65"/>
  <c r="Q159" i="65"/>
  <c r="P159" i="65"/>
  <c r="O159" i="65"/>
  <c r="R158" i="65"/>
  <c r="Q158" i="65"/>
  <c r="P158" i="65"/>
  <c r="O158" i="65"/>
  <c r="R157" i="65"/>
  <c r="Q157" i="65"/>
  <c r="P157" i="65"/>
  <c r="O157" i="65"/>
  <c r="R156" i="65"/>
  <c r="Q156" i="65"/>
  <c r="P156" i="65"/>
  <c r="O156" i="65"/>
  <c r="R155" i="65"/>
  <c r="Q155" i="65"/>
  <c r="P155" i="65"/>
  <c r="O155" i="65"/>
  <c r="R154" i="65"/>
  <c r="Q154" i="65"/>
  <c r="P154" i="65"/>
  <c r="O154" i="65"/>
  <c r="R153" i="65"/>
  <c r="Q153" i="65"/>
  <c r="P153" i="65"/>
  <c r="O153" i="65"/>
  <c r="R152" i="65"/>
  <c r="Q152" i="65"/>
  <c r="P152" i="65"/>
  <c r="O152" i="65"/>
  <c r="R151" i="65"/>
  <c r="Q151" i="65"/>
  <c r="P151" i="65"/>
  <c r="O151" i="65"/>
  <c r="R150" i="65"/>
  <c r="Q150" i="65"/>
  <c r="P150" i="65"/>
  <c r="O150" i="65"/>
  <c r="R149" i="65"/>
  <c r="Q149" i="65"/>
  <c r="P149" i="65"/>
  <c r="O149" i="65"/>
  <c r="R148" i="65"/>
  <c r="Q148" i="65"/>
  <c r="P148" i="65"/>
  <c r="O148" i="65"/>
  <c r="R147" i="65"/>
  <c r="Q147" i="65"/>
  <c r="P147" i="65"/>
  <c r="O147" i="65"/>
  <c r="R146" i="65"/>
  <c r="Q146" i="65"/>
  <c r="P146" i="65"/>
  <c r="O146" i="65"/>
  <c r="R145" i="65"/>
  <c r="Q145" i="65"/>
  <c r="P145" i="65"/>
  <c r="O145" i="65"/>
  <c r="R144" i="65"/>
  <c r="Q144" i="65"/>
  <c r="P144" i="65"/>
  <c r="O144" i="65"/>
  <c r="R143" i="65"/>
  <c r="Q143" i="65"/>
  <c r="P143" i="65"/>
  <c r="O143" i="65"/>
  <c r="R142" i="65"/>
  <c r="Q142" i="65"/>
  <c r="P142" i="65"/>
  <c r="O142" i="65"/>
  <c r="R141" i="65"/>
  <c r="Q141" i="65"/>
  <c r="P141" i="65"/>
  <c r="O141" i="65"/>
  <c r="R140" i="65"/>
  <c r="Q140" i="65"/>
  <c r="P140" i="65"/>
  <c r="O140" i="65"/>
  <c r="R139" i="65"/>
  <c r="Q139" i="65"/>
  <c r="P139" i="65"/>
  <c r="O139" i="65"/>
  <c r="R138" i="65"/>
  <c r="Q138" i="65"/>
  <c r="P138" i="65"/>
  <c r="O138" i="65"/>
  <c r="R137" i="65"/>
  <c r="Q137" i="65"/>
  <c r="P137" i="65"/>
  <c r="O137" i="65"/>
  <c r="R136" i="65"/>
  <c r="Q136" i="65"/>
  <c r="P136" i="65"/>
  <c r="O136" i="65"/>
  <c r="R135" i="65"/>
  <c r="Q135" i="65"/>
  <c r="P135" i="65"/>
  <c r="O135" i="65"/>
  <c r="R134" i="65"/>
  <c r="Q134" i="65"/>
  <c r="P134" i="65"/>
  <c r="O134" i="65"/>
  <c r="R133" i="65"/>
  <c r="Q133" i="65"/>
  <c r="P133" i="65"/>
  <c r="O133" i="65"/>
  <c r="R132" i="65"/>
  <c r="Q132" i="65"/>
  <c r="P132" i="65"/>
  <c r="O132" i="65"/>
  <c r="R131" i="65"/>
  <c r="Q131" i="65"/>
  <c r="P131" i="65"/>
  <c r="O131" i="65"/>
  <c r="R130" i="65"/>
  <c r="Q130" i="65"/>
  <c r="P130" i="65"/>
  <c r="O130" i="65"/>
  <c r="R129" i="65"/>
  <c r="Q129" i="65"/>
  <c r="P129" i="65"/>
  <c r="O129" i="65"/>
  <c r="R128" i="65"/>
  <c r="Q128" i="65"/>
  <c r="P128" i="65"/>
  <c r="O128" i="65"/>
  <c r="R127" i="65"/>
  <c r="Q127" i="65"/>
  <c r="P127" i="65"/>
  <c r="O127" i="65"/>
  <c r="R126" i="65"/>
  <c r="Q126" i="65"/>
  <c r="P126" i="65"/>
  <c r="O126" i="65"/>
  <c r="R125" i="65"/>
  <c r="Q125" i="65"/>
  <c r="P125" i="65"/>
  <c r="O125" i="65"/>
  <c r="R124" i="65"/>
  <c r="Q124" i="65"/>
  <c r="P124" i="65"/>
  <c r="O124" i="65"/>
  <c r="R123" i="65"/>
  <c r="Q123" i="65"/>
  <c r="P123" i="65"/>
  <c r="O123" i="65"/>
  <c r="R122" i="65"/>
  <c r="Q122" i="65"/>
  <c r="P122" i="65"/>
  <c r="O122" i="65"/>
  <c r="R121" i="65"/>
  <c r="Q121" i="65"/>
  <c r="P121" i="65"/>
  <c r="O121" i="65"/>
  <c r="R120" i="65"/>
  <c r="Q120" i="65"/>
  <c r="P120" i="65"/>
  <c r="O120" i="65"/>
  <c r="R119" i="65"/>
  <c r="Q119" i="65"/>
  <c r="P119" i="65"/>
  <c r="O119" i="65"/>
  <c r="R118" i="65"/>
  <c r="Q118" i="65"/>
  <c r="P118" i="65"/>
  <c r="O118" i="65"/>
  <c r="R117" i="65"/>
  <c r="Q117" i="65"/>
  <c r="P117" i="65"/>
  <c r="O117" i="65"/>
  <c r="R116" i="65"/>
  <c r="Q116" i="65"/>
  <c r="P116" i="65"/>
  <c r="O116" i="65"/>
  <c r="R115" i="65"/>
  <c r="Q115" i="65"/>
  <c r="P115" i="65"/>
  <c r="O115" i="65"/>
  <c r="R114" i="65"/>
  <c r="Q114" i="65"/>
  <c r="P114" i="65"/>
  <c r="O114" i="65"/>
  <c r="R113" i="65"/>
  <c r="Q113" i="65"/>
  <c r="P113" i="65"/>
  <c r="O113" i="65"/>
  <c r="R112" i="65"/>
  <c r="Q112" i="65"/>
  <c r="P112" i="65"/>
  <c r="O112" i="65"/>
  <c r="R111" i="65"/>
  <c r="Q111" i="65"/>
  <c r="P111" i="65"/>
  <c r="O111" i="65"/>
  <c r="R110" i="65"/>
  <c r="Q110" i="65"/>
  <c r="P110" i="65"/>
  <c r="O110" i="65"/>
  <c r="R109" i="65"/>
  <c r="Q109" i="65"/>
  <c r="P109" i="65"/>
  <c r="O109" i="65"/>
  <c r="R108" i="65"/>
  <c r="Q108" i="65"/>
  <c r="P108" i="65"/>
  <c r="O108" i="65"/>
  <c r="R107" i="65"/>
  <c r="Q107" i="65"/>
  <c r="P107" i="65"/>
  <c r="O107" i="65"/>
  <c r="R106" i="65"/>
  <c r="Q106" i="65"/>
  <c r="P106" i="65"/>
  <c r="O106" i="65"/>
  <c r="R105" i="65"/>
  <c r="Q105" i="65"/>
  <c r="P105" i="65"/>
  <c r="O105" i="65"/>
  <c r="R104" i="65"/>
  <c r="Q104" i="65"/>
  <c r="P104" i="65"/>
  <c r="O104" i="65"/>
  <c r="R103" i="65"/>
  <c r="Q103" i="65"/>
  <c r="P103" i="65"/>
  <c r="O103" i="65"/>
  <c r="R102" i="65"/>
  <c r="Q102" i="65"/>
  <c r="P102" i="65"/>
  <c r="O102" i="65"/>
  <c r="R101" i="65"/>
  <c r="Q101" i="65"/>
  <c r="P101" i="65"/>
  <c r="O101" i="65"/>
  <c r="R100" i="65"/>
  <c r="Q100" i="65"/>
  <c r="P100" i="65"/>
  <c r="O100" i="65"/>
  <c r="R99" i="65"/>
  <c r="Q99" i="65"/>
  <c r="P99" i="65"/>
  <c r="O99" i="65"/>
  <c r="R98" i="65"/>
  <c r="Q98" i="65"/>
  <c r="P98" i="65"/>
  <c r="O98" i="65"/>
  <c r="R97" i="65"/>
  <c r="Q97" i="65"/>
  <c r="P97" i="65"/>
  <c r="O97" i="65"/>
  <c r="R96" i="65"/>
  <c r="Q96" i="65"/>
  <c r="P96" i="65"/>
  <c r="O96" i="65"/>
  <c r="R95" i="65"/>
  <c r="Q95" i="65"/>
  <c r="P95" i="65"/>
  <c r="O95" i="65"/>
  <c r="R94" i="65"/>
  <c r="Q94" i="65"/>
  <c r="P94" i="65"/>
  <c r="O94" i="65"/>
  <c r="R93" i="65"/>
  <c r="Q93" i="65"/>
  <c r="P93" i="65"/>
  <c r="O93" i="65"/>
  <c r="R92" i="65"/>
  <c r="Q92" i="65"/>
  <c r="P92" i="65"/>
  <c r="O92" i="65"/>
  <c r="R91" i="65"/>
  <c r="Q91" i="65"/>
  <c r="P91" i="65"/>
  <c r="O91" i="65"/>
  <c r="R90" i="65"/>
  <c r="Q90" i="65"/>
  <c r="P90" i="65"/>
  <c r="O90" i="65"/>
  <c r="R89" i="65"/>
  <c r="Q89" i="65"/>
  <c r="P89" i="65"/>
  <c r="O89" i="65"/>
  <c r="R88" i="65"/>
  <c r="Q88" i="65"/>
  <c r="P88" i="65"/>
  <c r="O88" i="65"/>
  <c r="R87" i="65"/>
  <c r="Q87" i="65"/>
  <c r="P87" i="65"/>
  <c r="O87" i="65"/>
  <c r="R86" i="65"/>
  <c r="Q86" i="65"/>
  <c r="P86" i="65"/>
  <c r="O86" i="65"/>
  <c r="R85" i="65"/>
  <c r="Q85" i="65"/>
  <c r="P85" i="65"/>
  <c r="O85" i="65"/>
  <c r="R84" i="65"/>
  <c r="Q84" i="65"/>
  <c r="P84" i="65"/>
  <c r="O84" i="65"/>
  <c r="R83" i="65"/>
  <c r="Q83" i="65"/>
  <c r="P83" i="65"/>
  <c r="O83" i="65"/>
  <c r="R82" i="65"/>
  <c r="Q82" i="65"/>
  <c r="P82" i="65"/>
  <c r="O82" i="65"/>
  <c r="R81" i="65"/>
  <c r="Q81" i="65"/>
  <c r="P81" i="65"/>
  <c r="O81" i="65"/>
  <c r="R80" i="65"/>
  <c r="Q80" i="65"/>
  <c r="P80" i="65"/>
  <c r="O80" i="65"/>
  <c r="R79" i="65"/>
  <c r="Q79" i="65"/>
  <c r="P79" i="65"/>
  <c r="O79" i="65"/>
  <c r="R78" i="65"/>
  <c r="Q78" i="65"/>
  <c r="P78" i="65"/>
  <c r="O78" i="65"/>
  <c r="R77" i="65"/>
  <c r="Q77" i="65"/>
  <c r="P77" i="65"/>
  <c r="O77" i="65"/>
  <c r="R76" i="65"/>
  <c r="Q76" i="65"/>
  <c r="P76" i="65"/>
  <c r="O76" i="65"/>
  <c r="R75" i="65"/>
  <c r="Q75" i="65"/>
  <c r="P75" i="65"/>
  <c r="O75" i="65"/>
  <c r="R74" i="65"/>
  <c r="Q74" i="65"/>
  <c r="P74" i="65"/>
  <c r="O74" i="65"/>
  <c r="R73" i="65"/>
  <c r="Q73" i="65"/>
  <c r="P73" i="65"/>
  <c r="O73" i="65"/>
  <c r="R72" i="65"/>
  <c r="Q72" i="65"/>
  <c r="P72" i="65"/>
  <c r="O72" i="65"/>
  <c r="R71" i="65"/>
  <c r="Q71" i="65"/>
  <c r="P71" i="65"/>
  <c r="O71" i="65"/>
  <c r="Q70" i="65"/>
  <c r="P70" i="65"/>
  <c r="O70" i="65"/>
  <c r="L70" i="65"/>
  <c r="R70" i="65" s="1"/>
  <c r="R69" i="65"/>
  <c r="Q69" i="65"/>
  <c r="P69" i="65"/>
  <c r="O69" i="65"/>
  <c r="R68" i="65"/>
  <c r="Q68" i="65"/>
  <c r="P68" i="65"/>
  <c r="O68" i="65"/>
  <c r="R67" i="65"/>
  <c r="Q67" i="65"/>
  <c r="P67" i="65"/>
  <c r="O67" i="65"/>
  <c r="R66" i="65"/>
  <c r="Q66" i="65"/>
  <c r="P66" i="65"/>
  <c r="O66" i="65"/>
  <c r="R65" i="65"/>
  <c r="Q65" i="65"/>
  <c r="P65" i="65"/>
  <c r="O65" i="65"/>
  <c r="N65" i="65"/>
  <c r="R63" i="65"/>
  <c r="Q63" i="65"/>
  <c r="P63" i="65"/>
  <c r="O63" i="65"/>
  <c r="R62" i="65"/>
  <c r="Q62" i="65"/>
  <c r="P62" i="65"/>
  <c r="O62" i="65"/>
  <c r="R60" i="65"/>
  <c r="Q60" i="65"/>
  <c r="P60" i="65"/>
  <c r="O60" i="65"/>
  <c r="R59" i="65"/>
  <c r="Q59" i="65"/>
  <c r="P59" i="65"/>
  <c r="O59" i="65"/>
  <c r="R58" i="65"/>
  <c r="Q58" i="65"/>
  <c r="P58" i="65"/>
  <c r="O58" i="65"/>
  <c r="Q57" i="65"/>
  <c r="P57" i="65"/>
  <c r="O57" i="65"/>
  <c r="Q56" i="65"/>
  <c r="P56" i="65"/>
  <c r="O56" i="65"/>
  <c r="R55" i="65"/>
  <c r="Q55" i="65"/>
  <c r="P55" i="65"/>
  <c r="O55" i="65"/>
  <c r="R54" i="65"/>
  <c r="Q54" i="65"/>
  <c r="P54" i="65"/>
  <c r="O54" i="65"/>
  <c r="R53" i="65"/>
  <c r="Q53" i="65"/>
  <c r="P53" i="65"/>
  <c r="O53" i="65"/>
  <c r="R52" i="65"/>
  <c r="Q52" i="65"/>
  <c r="P52" i="65"/>
  <c r="O52" i="65"/>
  <c r="R51" i="65"/>
  <c r="Q51" i="65"/>
  <c r="P51" i="65"/>
  <c r="O51" i="65"/>
  <c r="R50" i="65"/>
  <c r="Q50" i="65"/>
  <c r="P50" i="65"/>
  <c r="O50" i="65"/>
  <c r="R48" i="65"/>
  <c r="Q48" i="65"/>
  <c r="P48" i="65"/>
  <c r="O48" i="65"/>
  <c r="R47" i="65"/>
  <c r="Q47" i="65"/>
  <c r="P47" i="65"/>
  <c r="O47" i="65"/>
  <c r="R46" i="65"/>
  <c r="Q46" i="65"/>
  <c r="P46" i="65"/>
  <c r="O46" i="65"/>
  <c r="R45" i="65"/>
  <c r="Q45" i="65"/>
  <c r="P45" i="65"/>
  <c r="O45" i="65"/>
  <c r="R44" i="65"/>
  <c r="Q44" i="65"/>
  <c r="P44" i="65"/>
  <c r="O44" i="65"/>
  <c r="R43" i="65"/>
  <c r="Q43" i="65"/>
  <c r="P43" i="65"/>
  <c r="O43" i="65"/>
  <c r="R42" i="65"/>
  <c r="Q42" i="65"/>
  <c r="P42" i="65"/>
  <c r="O42" i="65"/>
  <c r="R41" i="65"/>
  <c r="Q41" i="65"/>
  <c r="P41" i="65"/>
  <c r="O41" i="65"/>
  <c r="R40" i="65"/>
  <c r="Q40" i="65"/>
  <c r="P40" i="65"/>
  <c r="O40" i="65"/>
  <c r="R39" i="65"/>
  <c r="Q39" i="65"/>
  <c r="P39" i="65"/>
  <c r="O39" i="65"/>
  <c r="R38" i="65"/>
  <c r="Q38" i="65"/>
  <c r="P38" i="65"/>
  <c r="O38" i="65"/>
  <c r="R37" i="65"/>
  <c r="Q37" i="65"/>
  <c r="P37" i="65"/>
  <c r="O37" i="65"/>
  <c r="R36" i="65"/>
  <c r="Q36" i="65"/>
  <c r="P36" i="65"/>
  <c r="O36" i="65"/>
  <c r="R35" i="65"/>
  <c r="Q35" i="65"/>
  <c r="P35" i="65"/>
  <c r="O35" i="65"/>
  <c r="R34" i="65"/>
  <c r="S48" i="65" s="1"/>
  <c r="Q34" i="65"/>
  <c r="P34" i="65"/>
  <c r="O34" i="65"/>
  <c r="R33" i="65"/>
  <c r="Q33" i="65"/>
  <c r="P33" i="65"/>
  <c r="O33" i="65"/>
  <c r="R32" i="65"/>
  <c r="Q32" i="65"/>
  <c r="P32" i="65"/>
  <c r="O32" i="65"/>
  <c r="R31" i="65"/>
  <c r="Q31" i="65"/>
  <c r="P31" i="65"/>
  <c r="O31" i="65"/>
  <c r="R29" i="65"/>
  <c r="Q29" i="65"/>
  <c r="P29" i="65"/>
  <c r="O29" i="65"/>
  <c r="R28" i="65"/>
  <c r="Q28" i="65"/>
  <c r="P28" i="65"/>
  <c r="O28" i="65"/>
  <c r="R27" i="65"/>
  <c r="Q27" i="65"/>
  <c r="P27" i="65"/>
  <c r="O27" i="65"/>
  <c r="R26" i="65"/>
  <c r="Q26" i="65"/>
  <c r="P26" i="65"/>
  <c r="O26" i="65"/>
  <c r="R25" i="65"/>
  <c r="Q25" i="65"/>
  <c r="P25" i="65"/>
  <c r="O25" i="65"/>
  <c r="R24" i="65"/>
  <c r="Q24" i="65"/>
  <c r="P24" i="65"/>
  <c r="O24" i="65"/>
  <c r="R23" i="65"/>
  <c r="Q23" i="65"/>
  <c r="P23" i="65"/>
  <c r="O23" i="65"/>
  <c r="R22" i="65"/>
  <c r="Q22" i="65"/>
  <c r="P22" i="65"/>
  <c r="O22" i="65"/>
  <c r="R21" i="65"/>
  <c r="Q21" i="65"/>
  <c r="P21" i="65"/>
  <c r="O21" i="65"/>
  <c r="R20" i="65"/>
  <c r="Q20" i="65"/>
  <c r="P20" i="65"/>
  <c r="O20" i="65"/>
  <c r="R19" i="65"/>
  <c r="Q19" i="65"/>
  <c r="P19" i="65"/>
  <c r="O19" i="65"/>
  <c r="R18" i="65"/>
  <c r="Q18" i="65"/>
  <c r="P18" i="65"/>
  <c r="O18" i="65"/>
  <c r="R17" i="65"/>
  <c r="Q17" i="65"/>
  <c r="P17" i="65"/>
  <c r="O17" i="65"/>
  <c r="R16" i="65"/>
  <c r="Q16" i="65"/>
  <c r="P16" i="65"/>
  <c r="O16" i="65"/>
  <c r="R15" i="65"/>
  <c r="Q15" i="65"/>
  <c r="P15" i="65"/>
  <c r="O15" i="65"/>
  <c r="R14" i="65"/>
  <c r="Q14" i="65"/>
  <c r="P14" i="65"/>
  <c r="O14" i="65"/>
  <c r="R13" i="65"/>
  <c r="Q13" i="65"/>
  <c r="P13" i="65"/>
  <c r="O13" i="65"/>
  <c r="R12" i="65"/>
  <c r="Q12" i="65"/>
  <c r="P12" i="65"/>
  <c r="O12" i="65"/>
  <c r="D356" i="49"/>
  <c r="D42" i="49"/>
  <c r="M963" i="62"/>
  <c r="L963" i="62"/>
  <c r="K963" i="62"/>
  <c r="J963" i="62"/>
  <c r="M962" i="62"/>
  <c r="L962" i="62"/>
  <c r="K962" i="62"/>
  <c r="J962" i="62"/>
  <c r="M961" i="62"/>
  <c r="L961" i="62"/>
  <c r="K961" i="62"/>
  <c r="J961" i="62"/>
  <c r="M960" i="62"/>
  <c r="L960" i="62"/>
  <c r="K960" i="62"/>
  <c r="J960" i="62"/>
  <c r="M959" i="62"/>
  <c r="L959" i="62"/>
  <c r="K959" i="62"/>
  <c r="J959" i="62"/>
  <c r="M958" i="62"/>
  <c r="L958" i="62"/>
  <c r="K958" i="62"/>
  <c r="J958" i="62"/>
  <c r="M957" i="62"/>
  <c r="L957" i="62"/>
  <c r="K957" i="62"/>
  <c r="J957" i="62"/>
  <c r="M956" i="62"/>
  <c r="L956" i="62"/>
  <c r="K956" i="62"/>
  <c r="J956" i="62"/>
  <c r="M955" i="62"/>
  <c r="L955" i="62"/>
  <c r="K955" i="62"/>
  <c r="J955" i="62"/>
  <c r="M954" i="62"/>
  <c r="L954" i="62"/>
  <c r="K954" i="62"/>
  <c r="J954" i="62"/>
  <c r="M953" i="62"/>
  <c r="L953" i="62"/>
  <c r="K953" i="62"/>
  <c r="J953" i="62"/>
  <c r="M952" i="62"/>
  <c r="L952" i="62"/>
  <c r="K952" i="62"/>
  <c r="J952" i="62"/>
  <c r="M951" i="62"/>
  <c r="L951" i="62"/>
  <c r="K951" i="62"/>
  <c r="J951" i="62"/>
  <c r="M950" i="62"/>
  <c r="L950" i="62"/>
  <c r="K950" i="62"/>
  <c r="J950" i="62"/>
  <c r="M949" i="62"/>
  <c r="L949" i="62"/>
  <c r="K949" i="62"/>
  <c r="J949" i="62"/>
  <c r="M948" i="62"/>
  <c r="L948" i="62"/>
  <c r="K948" i="62"/>
  <c r="J948" i="62"/>
  <c r="M947" i="62"/>
  <c r="L947" i="62"/>
  <c r="K947" i="62"/>
  <c r="J947" i="62"/>
  <c r="M946" i="62"/>
  <c r="L946" i="62"/>
  <c r="K946" i="62"/>
  <c r="J946" i="62"/>
  <c r="M945" i="62"/>
  <c r="L945" i="62"/>
  <c r="K945" i="62"/>
  <c r="J945" i="62"/>
  <c r="M944" i="62"/>
  <c r="L944" i="62"/>
  <c r="K944" i="62"/>
  <c r="J944" i="62"/>
  <c r="M943" i="62"/>
  <c r="L943" i="62"/>
  <c r="K943" i="62"/>
  <c r="J943" i="62"/>
  <c r="M942" i="62"/>
  <c r="L942" i="62"/>
  <c r="K942" i="62"/>
  <c r="J942" i="62"/>
  <c r="M941" i="62"/>
  <c r="L941" i="62"/>
  <c r="K941" i="62"/>
  <c r="J941" i="62"/>
  <c r="M940" i="62"/>
  <c r="L940" i="62"/>
  <c r="K940" i="62"/>
  <c r="J940" i="62"/>
  <c r="M939" i="62"/>
  <c r="L939" i="62"/>
  <c r="K939" i="62"/>
  <c r="J939" i="62"/>
  <c r="M938" i="62"/>
  <c r="L938" i="62"/>
  <c r="K938" i="62"/>
  <c r="J938" i="62"/>
  <c r="M937" i="62"/>
  <c r="L937" i="62"/>
  <c r="K937" i="62"/>
  <c r="J937" i="62"/>
  <c r="M936" i="62"/>
  <c r="L936" i="62"/>
  <c r="K936" i="62"/>
  <c r="J936" i="62"/>
  <c r="M935" i="62"/>
  <c r="L935" i="62"/>
  <c r="K935" i="62"/>
  <c r="J935" i="62"/>
  <c r="M934" i="62"/>
  <c r="L934" i="62"/>
  <c r="K934" i="62"/>
  <c r="J934" i="62"/>
  <c r="M933" i="62"/>
  <c r="L933" i="62"/>
  <c r="K933" i="62"/>
  <c r="J933" i="62"/>
  <c r="M932" i="62"/>
  <c r="L932" i="62"/>
  <c r="K932" i="62"/>
  <c r="J932" i="62"/>
  <c r="M931" i="62"/>
  <c r="L931" i="62"/>
  <c r="K931" i="62"/>
  <c r="J931" i="62"/>
  <c r="M930" i="62"/>
  <c r="L930" i="62"/>
  <c r="K930" i="62"/>
  <c r="J930" i="62"/>
  <c r="M929" i="62"/>
  <c r="L929" i="62"/>
  <c r="K929" i="62"/>
  <c r="J929" i="62"/>
  <c r="M928" i="62"/>
  <c r="L928" i="62"/>
  <c r="K928" i="62"/>
  <c r="J928" i="62"/>
  <c r="M927" i="62"/>
  <c r="L927" i="62"/>
  <c r="K927" i="62"/>
  <c r="J927" i="62"/>
  <c r="M926" i="62"/>
  <c r="L926" i="62"/>
  <c r="K926" i="62"/>
  <c r="J926" i="62"/>
  <c r="M925" i="62"/>
  <c r="L925" i="62"/>
  <c r="K925" i="62"/>
  <c r="J925" i="62"/>
  <c r="M924" i="62"/>
  <c r="L924" i="62"/>
  <c r="K924" i="62"/>
  <c r="J924" i="62"/>
  <c r="M923" i="62"/>
  <c r="L923" i="62"/>
  <c r="K923" i="62"/>
  <c r="J923" i="62"/>
  <c r="M922" i="62"/>
  <c r="L922" i="62"/>
  <c r="K922" i="62"/>
  <c r="J922" i="62"/>
  <c r="M921" i="62"/>
  <c r="L921" i="62"/>
  <c r="K921" i="62"/>
  <c r="J921" i="62"/>
  <c r="M920" i="62"/>
  <c r="L920" i="62"/>
  <c r="K920" i="62"/>
  <c r="J920" i="62"/>
  <c r="M919" i="62"/>
  <c r="L919" i="62"/>
  <c r="K919" i="62"/>
  <c r="J919" i="62"/>
  <c r="M918" i="62"/>
  <c r="L918" i="62"/>
  <c r="K918" i="62"/>
  <c r="J918" i="62"/>
  <c r="M917" i="62"/>
  <c r="L917" i="62"/>
  <c r="K917" i="62"/>
  <c r="J917" i="62"/>
  <c r="M916" i="62"/>
  <c r="L916" i="62"/>
  <c r="K916" i="62"/>
  <c r="J916" i="62"/>
  <c r="M915" i="62"/>
  <c r="L915" i="62"/>
  <c r="K915" i="62"/>
  <c r="J915" i="62"/>
  <c r="M914" i="62"/>
  <c r="L914" i="62"/>
  <c r="K914" i="62"/>
  <c r="J914" i="62"/>
  <c r="M913" i="62"/>
  <c r="L913" i="62"/>
  <c r="K913" i="62"/>
  <c r="J913" i="62"/>
  <c r="M912" i="62"/>
  <c r="L912" i="62"/>
  <c r="K912" i="62"/>
  <c r="J912" i="62"/>
  <c r="M911" i="62"/>
  <c r="L911" i="62"/>
  <c r="K911" i="62"/>
  <c r="J911" i="62"/>
  <c r="M910" i="62"/>
  <c r="L910" i="62"/>
  <c r="K910" i="62"/>
  <c r="J910" i="62"/>
  <c r="M909" i="62"/>
  <c r="L909" i="62"/>
  <c r="K909" i="62"/>
  <c r="J909" i="62"/>
  <c r="M908" i="62"/>
  <c r="L908" i="62"/>
  <c r="K908" i="62"/>
  <c r="J908" i="62"/>
  <c r="M907" i="62"/>
  <c r="L907" i="62"/>
  <c r="K907" i="62"/>
  <c r="J907" i="62"/>
  <c r="M906" i="62"/>
  <c r="L906" i="62"/>
  <c r="K906" i="62"/>
  <c r="J906" i="62"/>
  <c r="M905" i="62"/>
  <c r="L905" i="62"/>
  <c r="K905" i="62"/>
  <c r="J905" i="62"/>
  <c r="M904" i="62"/>
  <c r="L904" i="62"/>
  <c r="K904" i="62"/>
  <c r="J904" i="62"/>
  <c r="M903" i="62"/>
  <c r="L903" i="62"/>
  <c r="K903" i="62"/>
  <c r="J903" i="62"/>
  <c r="M902" i="62"/>
  <c r="L902" i="62"/>
  <c r="K902" i="62"/>
  <c r="J902" i="62"/>
  <c r="M901" i="62"/>
  <c r="L901" i="62"/>
  <c r="K901" i="62"/>
  <c r="J901" i="62"/>
  <c r="M900" i="62"/>
  <c r="L900" i="62"/>
  <c r="K900" i="62"/>
  <c r="J900" i="62"/>
  <c r="M899" i="62"/>
  <c r="L899" i="62"/>
  <c r="K899" i="62"/>
  <c r="J899" i="62"/>
  <c r="M898" i="62"/>
  <c r="L898" i="62"/>
  <c r="K898" i="62"/>
  <c r="J898" i="62"/>
  <c r="M897" i="62"/>
  <c r="L897" i="62"/>
  <c r="K897" i="62"/>
  <c r="J897" i="62"/>
  <c r="M896" i="62"/>
  <c r="L896" i="62"/>
  <c r="K896" i="62"/>
  <c r="J896" i="62"/>
  <c r="M895" i="62"/>
  <c r="L895" i="62"/>
  <c r="K895" i="62"/>
  <c r="J895" i="62"/>
  <c r="M894" i="62"/>
  <c r="L894" i="62"/>
  <c r="K894" i="62"/>
  <c r="J894" i="62"/>
  <c r="M893" i="62"/>
  <c r="L893" i="62"/>
  <c r="K893" i="62"/>
  <c r="J893" i="62"/>
  <c r="M892" i="62"/>
  <c r="L892" i="62"/>
  <c r="K892" i="62"/>
  <c r="J892" i="62"/>
  <c r="M891" i="62"/>
  <c r="L891" i="62"/>
  <c r="K891" i="62"/>
  <c r="J891" i="62"/>
  <c r="M890" i="62"/>
  <c r="L890" i="62"/>
  <c r="K890" i="62"/>
  <c r="J890" i="62"/>
  <c r="M889" i="62"/>
  <c r="L889" i="62"/>
  <c r="K889" i="62"/>
  <c r="J889" i="62"/>
  <c r="M888" i="62"/>
  <c r="L888" i="62"/>
  <c r="K888" i="62"/>
  <c r="J888" i="62"/>
  <c r="M887" i="62"/>
  <c r="L887" i="62"/>
  <c r="K887" i="62"/>
  <c r="J887" i="62"/>
  <c r="M886" i="62"/>
  <c r="L886" i="62"/>
  <c r="K886" i="62"/>
  <c r="J886" i="62"/>
  <c r="M885" i="62"/>
  <c r="L885" i="62"/>
  <c r="K885" i="62"/>
  <c r="J885" i="62"/>
  <c r="M884" i="62"/>
  <c r="L884" i="62"/>
  <c r="K884" i="62"/>
  <c r="J884" i="62"/>
  <c r="M883" i="62"/>
  <c r="L883" i="62"/>
  <c r="K883" i="62"/>
  <c r="J883" i="62"/>
  <c r="M882" i="62"/>
  <c r="L882" i="62"/>
  <c r="K882" i="62"/>
  <c r="J882" i="62"/>
  <c r="M881" i="62"/>
  <c r="L881" i="62"/>
  <c r="K881" i="62"/>
  <c r="J881" i="62"/>
  <c r="M880" i="62"/>
  <c r="L880" i="62"/>
  <c r="K880" i="62"/>
  <c r="J880" i="62"/>
  <c r="M879" i="62"/>
  <c r="L879" i="62"/>
  <c r="K879" i="62"/>
  <c r="J879" i="62"/>
  <c r="M878" i="62"/>
  <c r="L878" i="62"/>
  <c r="K878" i="62"/>
  <c r="J878" i="62"/>
  <c r="M877" i="62"/>
  <c r="L877" i="62"/>
  <c r="K877" i="62"/>
  <c r="J877" i="62"/>
  <c r="M876" i="62"/>
  <c r="L876" i="62"/>
  <c r="K876" i="62"/>
  <c r="J876" i="62"/>
  <c r="M875" i="62"/>
  <c r="L875" i="62"/>
  <c r="K875" i="62"/>
  <c r="J875" i="62"/>
  <c r="M874" i="62"/>
  <c r="L874" i="62"/>
  <c r="K874" i="62"/>
  <c r="J874" i="62"/>
  <c r="M873" i="62"/>
  <c r="L873" i="62"/>
  <c r="K873" i="62"/>
  <c r="J873" i="62"/>
  <c r="M872" i="62"/>
  <c r="L872" i="62"/>
  <c r="K872" i="62"/>
  <c r="J872" i="62"/>
  <c r="M871" i="62"/>
  <c r="L871" i="62"/>
  <c r="K871" i="62"/>
  <c r="J871" i="62"/>
  <c r="M870" i="62"/>
  <c r="L870" i="62"/>
  <c r="K870" i="62"/>
  <c r="J870" i="62"/>
  <c r="M869" i="62"/>
  <c r="L869" i="62"/>
  <c r="K869" i="62"/>
  <c r="J869" i="62"/>
  <c r="M868" i="62"/>
  <c r="L868" i="62"/>
  <c r="K868" i="62"/>
  <c r="J868" i="62"/>
  <c r="M867" i="62"/>
  <c r="L867" i="62"/>
  <c r="K867" i="62"/>
  <c r="J867" i="62"/>
  <c r="M866" i="62"/>
  <c r="L866" i="62"/>
  <c r="K866" i="62"/>
  <c r="J866" i="62"/>
  <c r="M865" i="62"/>
  <c r="L865" i="62"/>
  <c r="K865" i="62"/>
  <c r="J865" i="62"/>
  <c r="M864" i="62"/>
  <c r="L864" i="62"/>
  <c r="K864" i="62"/>
  <c r="J864" i="62"/>
  <c r="M863" i="62"/>
  <c r="L863" i="62"/>
  <c r="K863" i="62"/>
  <c r="J863" i="62"/>
  <c r="M862" i="62"/>
  <c r="L862" i="62"/>
  <c r="K862" i="62"/>
  <c r="J862" i="62"/>
  <c r="M861" i="62"/>
  <c r="L861" i="62"/>
  <c r="K861" i="62"/>
  <c r="J861" i="62"/>
  <c r="M860" i="62"/>
  <c r="L860" i="62"/>
  <c r="K860" i="62"/>
  <c r="J860" i="62"/>
  <c r="M859" i="62"/>
  <c r="L859" i="62"/>
  <c r="K859" i="62"/>
  <c r="J859" i="62"/>
  <c r="M858" i="62"/>
  <c r="L858" i="62"/>
  <c r="K858" i="62"/>
  <c r="J858" i="62"/>
  <c r="M857" i="62"/>
  <c r="L857" i="62"/>
  <c r="K857" i="62"/>
  <c r="J857" i="62"/>
  <c r="M856" i="62"/>
  <c r="L856" i="62"/>
  <c r="K856" i="62"/>
  <c r="J856" i="62"/>
  <c r="M855" i="62"/>
  <c r="L855" i="62"/>
  <c r="K855" i="62"/>
  <c r="J855" i="62"/>
  <c r="M854" i="62"/>
  <c r="L854" i="62"/>
  <c r="K854" i="62"/>
  <c r="J854" i="62"/>
  <c r="M853" i="62"/>
  <c r="L853" i="62"/>
  <c r="K853" i="62"/>
  <c r="J853" i="62"/>
  <c r="M852" i="62"/>
  <c r="L852" i="62"/>
  <c r="K852" i="62"/>
  <c r="J852" i="62"/>
  <c r="M851" i="62"/>
  <c r="L851" i="62"/>
  <c r="K851" i="62"/>
  <c r="J851" i="62"/>
  <c r="M850" i="62"/>
  <c r="L850" i="62"/>
  <c r="K850" i="62"/>
  <c r="J850" i="62"/>
  <c r="M849" i="62"/>
  <c r="L849" i="62"/>
  <c r="K849" i="62"/>
  <c r="J849" i="62"/>
  <c r="M848" i="62"/>
  <c r="L848" i="62"/>
  <c r="K848" i="62"/>
  <c r="J848" i="62"/>
  <c r="M847" i="62"/>
  <c r="L847" i="62"/>
  <c r="K847" i="62"/>
  <c r="J847" i="62"/>
  <c r="M846" i="62"/>
  <c r="L846" i="62"/>
  <c r="K846" i="62"/>
  <c r="J846" i="62"/>
  <c r="M845" i="62"/>
  <c r="L845" i="62"/>
  <c r="K845" i="62"/>
  <c r="J845" i="62"/>
  <c r="M844" i="62"/>
  <c r="L844" i="62"/>
  <c r="K844" i="62"/>
  <c r="J844" i="62"/>
  <c r="M843" i="62"/>
  <c r="L843" i="62"/>
  <c r="K843" i="62"/>
  <c r="J843" i="62"/>
  <c r="M842" i="62"/>
  <c r="L842" i="62"/>
  <c r="K842" i="62"/>
  <c r="J842" i="62"/>
  <c r="M841" i="62"/>
  <c r="L841" i="62"/>
  <c r="K841" i="62"/>
  <c r="J841" i="62"/>
  <c r="M840" i="62"/>
  <c r="L840" i="62"/>
  <c r="K840" i="62"/>
  <c r="J840" i="62"/>
  <c r="M839" i="62"/>
  <c r="L839" i="62"/>
  <c r="K839" i="62"/>
  <c r="J839" i="62"/>
  <c r="M838" i="62"/>
  <c r="L838" i="62"/>
  <c r="K838" i="62"/>
  <c r="J838" i="62"/>
  <c r="M837" i="62"/>
  <c r="L837" i="62"/>
  <c r="K837" i="62"/>
  <c r="J837" i="62"/>
  <c r="M836" i="62"/>
  <c r="L836" i="62"/>
  <c r="K836" i="62"/>
  <c r="J836" i="62"/>
  <c r="M835" i="62"/>
  <c r="L835" i="62"/>
  <c r="K835" i="62"/>
  <c r="J835" i="62"/>
  <c r="M834" i="62"/>
  <c r="L834" i="62"/>
  <c r="K834" i="62"/>
  <c r="J834" i="62"/>
  <c r="M833" i="62"/>
  <c r="L833" i="62"/>
  <c r="K833" i="62"/>
  <c r="J833" i="62"/>
  <c r="M832" i="62"/>
  <c r="L832" i="62"/>
  <c r="K832" i="62"/>
  <c r="J832" i="62"/>
  <c r="M831" i="62"/>
  <c r="L831" i="62"/>
  <c r="K831" i="62"/>
  <c r="J831" i="62"/>
  <c r="M830" i="62"/>
  <c r="L830" i="62"/>
  <c r="K830" i="62"/>
  <c r="J830" i="62"/>
  <c r="M829" i="62"/>
  <c r="L829" i="62"/>
  <c r="K829" i="62"/>
  <c r="J829" i="62"/>
  <c r="M828" i="62"/>
  <c r="L828" i="62"/>
  <c r="K828" i="62"/>
  <c r="J828" i="62"/>
  <c r="M827" i="62"/>
  <c r="L827" i="62"/>
  <c r="K827" i="62"/>
  <c r="J827" i="62"/>
  <c r="M826" i="62"/>
  <c r="L826" i="62"/>
  <c r="K826" i="62"/>
  <c r="J826" i="62"/>
  <c r="M825" i="62"/>
  <c r="L825" i="62"/>
  <c r="K825" i="62"/>
  <c r="J825" i="62"/>
  <c r="M824" i="62"/>
  <c r="L824" i="62"/>
  <c r="K824" i="62"/>
  <c r="J824" i="62"/>
  <c r="M823" i="62"/>
  <c r="L823" i="62"/>
  <c r="K823" i="62"/>
  <c r="J823" i="62"/>
  <c r="M822" i="62"/>
  <c r="L822" i="62"/>
  <c r="K822" i="62"/>
  <c r="J822" i="62"/>
  <c r="M821" i="62"/>
  <c r="L821" i="62"/>
  <c r="K821" i="62"/>
  <c r="J821" i="62"/>
  <c r="M820" i="62"/>
  <c r="L820" i="62"/>
  <c r="K820" i="62"/>
  <c r="J820" i="62"/>
  <c r="M819" i="62"/>
  <c r="L819" i="62"/>
  <c r="K819" i="62"/>
  <c r="J819" i="62"/>
  <c r="M818" i="62"/>
  <c r="L818" i="62"/>
  <c r="K818" i="62"/>
  <c r="J818" i="62"/>
  <c r="M817" i="62"/>
  <c r="L817" i="62"/>
  <c r="K817" i="62"/>
  <c r="J817" i="62"/>
  <c r="M816" i="62"/>
  <c r="L816" i="62"/>
  <c r="K816" i="62"/>
  <c r="J816" i="62"/>
  <c r="M815" i="62"/>
  <c r="L815" i="62"/>
  <c r="K815" i="62"/>
  <c r="J815" i="62"/>
  <c r="M814" i="62"/>
  <c r="L814" i="62"/>
  <c r="K814" i="62"/>
  <c r="J814" i="62"/>
  <c r="M813" i="62"/>
  <c r="L813" i="62"/>
  <c r="K813" i="62"/>
  <c r="J813" i="62"/>
  <c r="M812" i="62"/>
  <c r="L812" i="62"/>
  <c r="K812" i="62"/>
  <c r="J812" i="62"/>
  <c r="M811" i="62"/>
  <c r="L811" i="62"/>
  <c r="K811" i="62"/>
  <c r="J811" i="62"/>
  <c r="M810" i="62"/>
  <c r="L810" i="62"/>
  <c r="K810" i="62"/>
  <c r="J810" i="62"/>
  <c r="M809" i="62"/>
  <c r="L809" i="62"/>
  <c r="K809" i="62"/>
  <c r="J809" i="62"/>
  <c r="M808" i="62"/>
  <c r="L808" i="62"/>
  <c r="K808" i="62"/>
  <c r="J808" i="62"/>
  <c r="M807" i="62"/>
  <c r="L807" i="62"/>
  <c r="K807" i="62"/>
  <c r="J807" i="62"/>
  <c r="M806" i="62"/>
  <c r="L806" i="62"/>
  <c r="K806" i="62"/>
  <c r="J806" i="62"/>
  <c r="M805" i="62"/>
  <c r="L805" i="62"/>
  <c r="K805" i="62"/>
  <c r="J805" i="62"/>
  <c r="M804" i="62"/>
  <c r="L804" i="62"/>
  <c r="K804" i="62"/>
  <c r="J804" i="62"/>
  <c r="M803" i="62"/>
  <c r="L803" i="62"/>
  <c r="K803" i="62"/>
  <c r="J803" i="62"/>
  <c r="M802" i="62"/>
  <c r="L802" i="62"/>
  <c r="K802" i="62"/>
  <c r="J802" i="62"/>
  <c r="M801" i="62"/>
  <c r="L801" i="62"/>
  <c r="K801" i="62"/>
  <c r="J801" i="62"/>
  <c r="M800" i="62"/>
  <c r="L800" i="62"/>
  <c r="K800" i="62"/>
  <c r="J800" i="62"/>
  <c r="M799" i="62"/>
  <c r="L799" i="62"/>
  <c r="K799" i="62"/>
  <c r="J799" i="62"/>
  <c r="M798" i="62"/>
  <c r="L798" i="62"/>
  <c r="K798" i="62"/>
  <c r="J798" i="62"/>
  <c r="M797" i="62"/>
  <c r="L797" i="62"/>
  <c r="K797" i="62"/>
  <c r="J797" i="62"/>
  <c r="M796" i="62"/>
  <c r="L796" i="62"/>
  <c r="K796" i="62"/>
  <c r="J796" i="62"/>
  <c r="M795" i="62"/>
  <c r="L795" i="62"/>
  <c r="K795" i="62"/>
  <c r="J795" i="62"/>
  <c r="M794" i="62"/>
  <c r="L794" i="62"/>
  <c r="K794" i="62"/>
  <c r="J794" i="62"/>
  <c r="M793" i="62"/>
  <c r="L793" i="62"/>
  <c r="K793" i="62"/>
  <c r="J793" i="62"/>
  <c r="M792" i="62"/>
  <c r="L792" i="62"/>
  <c r="K792" i="62"/>
  <c r="J792" i="62"/>
  <c r="M791" i="62"/>
  <c r="L791" i="62"/>
  <c r="K791" i="62"/>
  <c r="J791" i="62"/>
  <c r="M790" i="62"/>
  <c r="L790" i="62"/>
  <c r="K790" i="62"/>
  <c r="J790" i="62"/>
  <c r="M789" i="62"/>
  <c r="L789" i="62"/>
  <c r="K789" i="62"/>
  <c r="J789" i="62"/>
  <c r="M788" i="62"/>
  <c r="L788" i="62"/>
  <c r="K788" i="62"/>
  <c r="J788" i="62"/>
  <c r="M787" i="62"/>
  <c r="L787" i="62"/>
  <c r="K787" i="62"/>
  <c r="J787" i="62"/>
  <c r="M786" i="62"/>
  <c r="L786" i="62"/>
  <c r="K786" i="62"/>
  <c r="J786" i="62"/>
  <c r="M785" i="62"/>
  <c r="L785" i="62"/>
  <c r="K785" i="62"/>
  <c r="J785" i="62"/>
  <c r="M784" i="62"/>
  <c r="L784" i="62"/>
  <c r="K784" i="62"/>
  <c r="J784" i="62"/>
  <c r="M783" i="62"/>
  <c r="L783" i="62"/>
  <c r="K783" i="62"/>
  <c r="J783" i="62"/>
  <c r="M782" i="62"/>
  <c r="L782" i="62"/>
  <c r="K782" i="62"/>
  <c r="J782" i="62"/>
  <c r="M781" i="62"/>
  <c r="L781" i="62"/>
  <c r="K781" i="62"/>
  <c r="J781" i="62"/>
  <c r="M780" i="62"/>
  <c r="L780" i="62"/>
  <c r="K780" i="62"/>
  <c r="J780" i="62"/>
  <c r="M779" i="62"/>
  <c r="L779" i="62"/>
  <c r="K779" i="62"/>
  <c r="J779" i="62"/>
  <c r="M778" i="62"/>
  <c r="L778" i="62"/>
  <c r="K778" i="62"/>
  <c r="J778" i="62"/>
  <c r="M777" i="62"/>
  <c r="L777" i="62"/>
  <c r="K777" i="62"/>
  <c r="J777" i="62"/>
  <c r="M776" i="62"/>
  <c r="L776" i="62"/>
  <c r="K776" i="62"/>
  <c r="J776" i="62"/>
  <c r="M775" i="62"/>
  <c r="L775" i="62"/>
  <c r="K775" i="62"/>
  <c r="J775" i="62"/>
  <c r="M774" i="62"/>
  <c r="L774" i="62"/>
  <c r="K774" i="62"/>
  <c r="J774" i="62"/>
  <c r="M773" i="62"/>
  <c r="L773" i="62"/>
  <c r="K773" i="62"/>
  <c r="J773" i="62"/>
  <c r="M772" i="62"/>
  <c r="L772" i="62"/>
  <c r="K772" i="62"/>
  <c r="J772" i="62"/>
  <c r="M771" i="62"/>
  <c r="L771" i="62"/>
  <c r="K771" i="62"/>
  <c r="J771" i="62"/>
  <c r="M770" i="62"/>
  <c r="L770" i="62"/>
  <c r="K770" i="62"/>
  <c r="J770" i="62"/>
  <c r="M769" i="62"/>
  <c r="L769" i="62"/>
  <c r="K769" i="62"/>
  <c r="J769" i="62"/>
  <c r="M768" i="62"/>
  <c r="L768" i="62"/>
  <c r="K768" i="62"/>
  <c r="J768" i="62"/>
  <c r="M767" i="62"/>
  <c r="L767" i="62"/>
  <c r="K767" i="62"/>
  <c r="J767" i="62"/>
  <c r="M766" i="62"/>
  <c r="L766" i="62"/>
  <c r="K766" i="62"/>
  <c r="J766" i="62"/>
  <c r="M765" i="62"/>
  <c r="L765" i="62"/>
  <c r="K765" i="62"/>
  <c r="J765" i="62"/>
  <c r="M764" i="62"/>
  <c r="L764" i="62"/>
  <c r="K764" i="62"/>
  <c r="J764" i="62"/>
  <c r="M763" i="62"/>
  <c r="L763" i="62"/>
  <c r="K763" i="62"/>
  <c r="J763" i="62"/>
  <c r="M762" i="62"/>
  <c r="L762" i="62"/>
  <c r="K762" i="62"/>
  <c r="J762" i="62"/>
  <c r="M761" i="62"/>
  <c r="L761" i="62"/>
  <c r="K761" i="62"/>
  <c r="J761" i="62"/>
  <c r="M760" i="62"/>
  <c r="L760" i="62"/>
  <c r="K760" i="62"/>
  <c r="J760" i="62"/>
  <c r="M759" i="62"/>
  <c r="L759" i="62"/>
  <c r="K759" i="62"/>
  <c r="J759" i="62"/>
  <c r="M758" i="62"/>
  <c r="L758" i="62"/>
  <c r="K758" i="62"/>
  <c r="J758" i="62"/>
  <c r="M757" i="62"/>
  <c r="L757" i="62"/>
  <c r="K757" i="62"/>
  <c r="J757" i="62"/>
  <c r="M756" i="62"/>
  <c r="L756" i="62"/>
  <c r="K756" i="62"/>
  <c r="J756" i="62"/>
  <c r="M755" i="62"/>
  <c r="L755" i="62"/>
  <c r="K755" i="62"/>
  <c r="J755" i="62"/>
  <c r="M754" i="62"/>
  <c r="L754" i="62"/>
  <c r="K754" i="62"/>
  <c r="J754" i="62"/>
  <c r="M753" i="62"/>
  <c r="L753" i="62"/>
  <c r="K753" i="62"/>
  <c r="J753" i="62"/>
  <c r="M752" i="62"/>
  <c r="L752" i="62"/>
  <c r="K752" i="62"/>
  <c r="J752" i="62"/>
  <c r="M751" i="62"/>
  <c r="L751" i="62"/>
  <c r="K751" i="62"/>
  <c r="J751" i="62"/>
  <c r="M750" i="62"/>
  <c r="L750" i="62"/>
  <c r="K750" i="62"/>
  <c r="J750" i="62"/>
  <c r="M749" i="62"/>
  <c r="L749" i="62"/>
  <c r="K749" i="62"/>
  <c r="J749" i="62"/>
  <c r="M748" i="62"/>
  <c r="L748" i="62"/>
  <c r="K748" i="62"/>
  <c r="J748" i="62"/>
  <c r="M747" i="62"/>
  <c r="L747" i="62"/>
  <c r="K747" i="62"/>
  <c r="J747" i="62"/>
  <c r="M746" i="62"/>
  <c r="L746" i="62"/>
  <c r="K746" i="62"/>
  <c r="J746" i="62"/>
  <c r="M745" i="62"/>
  <c r="L745" i="62"/>
  <c r="K745" i="62"/>
  <c r="J745" i="62"/>
  <c r="M744" i="62"/>
  <c r="L744" i="62"/>
  <c r="K744" i="62"/>
  <c r="J744" i="62"/>
  <c r="M743" i="62"/>
  <c r="L743" i="62"/>
  <c r="K743" i="62"/>
  <c r="J743" i="62"/>
  <c r="M742" i="62"/>
  <c r="L742" i="62"/>
  <c r="K742" i="62"/>
  <c r="J742" i="62"/>
  <c r="M741" i="62"/>
  <c r="L741" i="62"/>
  <c r="K741" i="62"/>
  <c r="J741" i="62"/>
  <c r="M740" i="62"/>
  <c r="L740" i="62"/>
  <c r="K740" i="62"/>
  <c r="J740" i="62"/>
  <c r="M739" i="62"/>
  <c r="L739" i="62"/>
  <c r="K739" i="62"/>
  <c r="J739" i="62"/>
  <c r="M738" i="62"/>
  <c r="L738" i="62"/>
  <c r="K738" i="62"/>
  <c r="J738" i="62"/>
  <c r="M737" i="62"/>
  <c r="L737" i="62"/>
  <c r="K737" i="62"/>
  <c r="J737" i="62"/>
  <c r="M736" i="62"/>
  <c r="L736" i="62"/>
  <c r="K736" i="62"/>
  <c r="J736" i="62"/>
  <c r="M735" i="62"/>
  <c r="L735" i="62"/>
  <c r="K735" i="62"/>
  <c r="J735" i="62"/>
  <c r="M734" i="62"/>
  <c r="L734" i="62"/>
  <c r="K734" i="62"/>
  <c r="J734" i="62"/>
  <c r="M733" i="62"/>
  <c r="L733" i="62"/>
  <c r="K733" i="62"/>
  <c r="J733" i="62"/>
  <c r="M732" i="62"/>
  <c r="L732" i="62"/>
  <c r="K732" i="62"/>
  <c r="J732" i="62"/>
  <c r="M731" i="62"/>
  <c r="L731" i="62"/>
  <c r="K731" i="62"/>
  <c r="J731" i="62"/>
  <c r="M730" i="62"/>
  <c r="L730" i="62"/>
  <c r="K730" i="62"/>
  <c r="J730" i="62"/>
  <c r="M729" i="62"/>
  <c r="L729" i="62"/>
  <c r="K729" i="62"/>
  <c r="J729" i="62"/>
  <c r="M728" i="62"/>
  <c r="L728" i="62"/>
  <c r="K728" i="62"/>
  <c r="J728" i="62"/>
  <c r="M727" i="62"/>
  <c r="L727" i="62"/>
  <c r="K727" i="62"/>
  <c r="J727" i="62"/>
  <c r="M726" i="62"/>
  <c r="L726" i="62"/>
  <c r="K726" i="62"/>
  <c r="J726" i="62"/>
  <c r="M725" i="62"/>
  <c r="L725" i="62"/>
  <c r="K725" i="62"/>
  <c r="J725" i="62"/>
  <c r="M724" i="62"/>
  <c r="L724" i="62"/>
  <c r="K724" i="62"/>
  <c r="J724" i="62"/>
  <c r="M723" i="62"/>
  <c r="L723" i="62"/>
  <c r="K723" i="62"/>
  <c r="J723" i="62"/>
  <c r="M722" i="62"/>
  <c r="L722" i="62"/>
  <c r="K722" i="62"/>
  <c r="J722" i="62"/>
  <c r="M721" i="62"/>
  <c r="L721" i="62"/>
  <c r="K721" i="62"/>
  <c r="J721" i="62"/>
  <c r="M720" i="62"/>
  <c r="L720" i="62"/>
  <c r="K720" i="62"/>
  <c r="J720" i="62"/>
  <c r="M719" i="62"/>
  <c r="L719" i="62"/>
  <c r="K719" i="62"/>
  <c r="J719" i="62"/>
  <c r="M718" i="62"/>
  <c r="L718" i="62"/>
  <c r="K718" i="62"/>
  <c r="J718" i="62"/>
  <c r="M717" i="62"/>
  <c r="L717" i="62"/>
  <c r="K717" i="62"/>
  <c r="J717" i="62"/>
  <c r="M716" i="62"/>
  <c r="L716" i="62"/>
  <c r="K716" i="62"/>
  <c r="J716" i="62"/>
  <c r="M715" i="62"/>
  <c r="L715" i="62"/>
  <c r="K715" i="62"/>
  <c r="J715" i="62"/>
  <c r="M714" i="62"/>
  <c r="L714" i="62"/>
  <c r="K714" i="62"/>
  <c r="J714" i="62"/>
  <c r="M713" i="62"/>
  <c r="L713" i="62"/>
  <c r="K713" i="62"/>
  <c r="J713" i="62"/>
  <c r="M712" i="62"/>
  <c r="L712" i="62"/>
  <c r="K712" i="62"/>
  <c r="J712" i="62"/>
  <c r="M711" i="62"/>
  <c r="L711" i="62"/>
  <c r="K711" i="62"/>
  <c r="J711" i="62"/>
  <c r="M710" i="62"/>
  <c r="L710" i="62"/>
  <c r="K710" i="62"/>
  <c r="J710" i="62"/>
  <c r="M709" i="62"/>
  <c r="L709" i="62"/>
  <c r="K709" i="62"/>
  <c r="J709" i="62"/>
  <c r="M708" i="62"/>
  <c r="L708" i="62"/>
  <c r="K708" i="62"/>
  <c r="J708" i="62"/>
  <c r="M707" i="62"/>
  <c r="L707" i="62"/>
  <c r="K707" i="62"/>
  <c r="J707" i="62"/>
  <c r="M706" i="62"/>
  <c r="L706" i="62"/>
  <c r="K706" i="62"/>
  <c r="J706" i="62"/>
  <c r="M705" i="62"/>
  <c r="L705" i="62"/>
  <c r="K705" i="62"/>
  <c r="J705" i="62"/>
  <c r="M704" i="62"/>
  <c r="L704" i="62"/>
  <c r="K704" i="62"/>
  <c r="J704" i="62"/>
  <c r="M703" i="62"/>
  <c r="L703" i="62"/>
  <c r="K703" i="62"/>
  <c r="J703" i="62"/>
  <c r="M702" i="62"/>
  <c r="L702" i="62"/>
  <c r="K702" i="62"/>
  <c r="J702" i="62"/>
  <c r="M701" i="62"/>
  <c r="L701" i="62"/>
  <c r="K701" i="62"/>
  <c r="J701" i="62"/>
  <c r="M700" i="62"/>
  <c r="L700" i="62"/>
  <c r="K700" i="62"/>
  <c r="J700" i="62"/>
  <c r="M699" i="62"/>
  <c r="L699" i="62"/>
  <c r="K699" i="62"/>
  <c r="J699" i="62"/>
  <c r="M698" i="62"/>
  <c r="L698" i="62"/>
  <c r="K698" i="62"/>
  <c r="J698" i="62"/>
  <c r="M697" i="62"/>
  <c r="L697" i="62"/>
  <c r="K697" i="62"/>
  <c r="J697" i="62"/>
  <c r="M696" i="62"/>
  <c r="L696" i="62"/>
  <c r="K696" i="62"/>
  <c r="J696" i="62"/>
  <c r="M695" i="62"/>
  <c r="L695" i="62"/>
  <c r="K695" i="62"/>
  <c r="J695" i="62"/>
  <c r="M694" i="62"/>
  <c r="L694" i="62"/>
  <c r="K694" i="62"/>
  <c r="J694" i="62"/>
  <c r="M693" i="62"/>
  <c r="L693" i="62"/>
  <c r="K693" i="62"/>
  <c r="J693" i="62"/>
  <c r="M692" i="62"/>
  <c r="L692" i="62"/>
  <c r="K692" i="62"/>
  <c r="J692" i="62"/>
  <c r="M691" i="62"/>
  <c r="L691" i="62"/>
  <c r="K691" i="62"/>
  <c r="J691" i="62"/>
  <c r="M690" i="62"/>
  <c r="L690" i="62"/>
  <c r="K690" i="62"/>
  <c r="J690" i="62"/>
  <c r="M689" i="62"/>
  <c r="L689" i="62"/>
  <c r="K689" i="62"/>
  <c r="J689" i="62"/>
  <c r="M688" i="62"/>
  <c r="L688" i="62"/>
  <c r="K688" i="62"/>
  <c r="J688" i="62"/>
  <c r="M687" i="62"/>
  <c r="L687" i="62"/>
  <c r="K687" i="62"/>
  <c r="J687" i="62"/>
  <c r="M686" i="62"/>
  <c r="L686" i="62"/>
  <c r="K686" i="62"/>
  <c r="J686" i="62"/>
  <c r="M685" i="62"/>
  <c r="L685" i="62"/>
  <c r="K685" i="62"/>
  <c r="J685" i="62"/>
  <c r="M684" i="62"/>
  <c r="L684" i="62"/>
  <c r="K684" i="62"/>
  <c r="J684" i="62"/>
  <c r="M683" i="62"/>
  <c r="L683" i="62"/>
  <c r="K683" i="62"/>
  <c r="J683" i="62"/>
  <c r="M682" i="62"/>
  <c r="L682" i="62"/>
  <c r="K682" i="62"/>
  <c r="J682" i="62"/>
  <c r="M681" i="62"/>
  <c r="L681" i="62"/>
  <c r="K681" i="62"/>
  <c r="J681" i="62"/>
  <c r="M680" i="62"/>
  <c r="L680" i="62"/>
  <c r="K680" i="62"/>
  <c r="J680" i="62"/>
  <c r="M679" i="62"/>
  <c r="L679" i="62"/>
  <c r="K679" i="62"/>
  <c r="J679" i="62"/>
  <c r="M678" i="62"/>
  <c r="L678" i="62"/>
  <c r="K678" i="62"/>
  <c r="J678" i="62"/>
  <c r="M677" i="62"/>
  <c r="L677" i="62"/>
  <c r="K677" i="62"/>
  <c r="J677" i="62"/>
  <c r="M676" i="62"/>
  <c r="L676" i="62"/>
  <c r="K676" i="62"/>
  <c r="J676" i="62"/>
  <c r="M675" i="62"/>
  <c r="L675" i="62"/>
  <c r="K675" i="62"/>
  <c r="J675" i="62"/>
  <c r="M674" i="62"/>
  <c r="L674" i="62"/>
  <c r="K674" i="62"/>
  <c r="J674" i="62"/>
  <c r="M673" i="62"/>
  <c r="L673" i="62"/>
  <c r="K673" i="62"/>
  <c r="J673" i="62"/>
  <c r="M672" i="62"/>
  <c r="L672" i="62"/>
  <c r="K672" i="62"/>
  <c r="J672" i="62"/>
  <c r="M671" i="62"/>
  <c r="L671" i="62"/>
  <c r="K671" i="62"/>
  <c r="J671" i="62"/>
  <c r="M670" i="62"/>
  <c r="L670" i="62"/>
  <c r="K670" i="62"/>
  <c r="J670" i="62"/>
  <c r="M669" i="62"/>
  <c r="L669" i="62"/>
  <c r="K669" i="62"/>
  <c r="J669" i="62"/>
  <c r="M668" i="62"/>
  <c r="L668" i="62"/>
  <c r="K668" i="62"/>
  <c r="J668" i="62"/>
  <c r="M667" i="62"/>
  <c r="L667" i="62"/>
  <c r="K667" i="62"/>
  <c r="J667" i="62"/>
  <c r="M666" i="62"/>
  <c r="L666" i="62"/>
  <c r="K666" i="62"/>
  <c r="J666" i="62"/>
  <c r="M665" i="62"/>
  <c r="L665" i="62"/>
  <c r="K665" i="62"/>
  <c r="J665" i="62"/>
  <c r="M664" i="62"/>
  <c r="L664" i="62"/>
  <c r="K664" i="62"/>
  <c r="J664" i="62"/>
  <c r="M663" i="62"/>
  <c r="L663" i="62"/>
  <c r="K663" i="62"/>
  <c r="J663" i="62"/>
  <c r="M662" i="62"/>
  <c r="L662" i="62"/>
  <c r="K662" i="62"/>
  <c r="J662" i="62"/>
  <c r="M661" i="62"/>
  <c r="L661" i="62"/>
  <c r="K661" i="62"/>
  <c r="J661" i="62"/>
  <c r="M660" i="62"/>
  <c r="L660" i="62"/>
  <c r="K660" i="62"/>
  <c r="J660" i="62"/>
  <c r="M659" i="62"/>
  <c r="L659" i="62"/>
  <c r="K659" i="62"/>
  <c r="J659" i="62"/>
  <c r="M658" i="62"/>
  <c r="L658" i="62"/>
  <c r="K658" i="62"/>
  <c r="J658" i="62"/>
  <c r="M657" i="62"/>
  <c r="L657" i="62"/>
  <c r="K657" i="62"/>
  <c r="J657" i="62"/>
  <c r="M656" i="62"/>
  <c r="L656" i="62"/>
  <c r="K656" i="62"/>
  <c r="J656" i="62"/>
  <c r="M655" i="62"/>
  <c r="L655" i="62"/>
  <c r="K655" i="62"/>
  <c r="J655" i="62"/>
  <c r="M654" i="62"/>
  <c r="L654" i="62"/>
  <c r="K654" i="62"/>
  <c r="J654" i="62"/>
  <c r="M653" i="62"/>
  <c r="L653" i="62"/>
  <c r="K653" i="62"/>
  <c r="J653" i="62"/>
  <c r="M652" i="62"/>
  <c r="L652" i="62"/>
  <c r="K652" i="62"/>
  <c r="J652" i="62"/>
  <c r="M651" i="62"/>
  <c r="L651" i="62"/>
  <c r="K651" i="62"/>
  <c r="J651" i="62"/>
  <c r="M650" i="62"/>
  <c r="L650" i="62"/>
  <c r="K650" i="62"/>
  <c r="J650" i="62"/>
  <c r="M649" i="62"/>
  <c r="L649" i="62"/>
  <c r="K649" i="62"/>
  <c r="J649" i="62"/>
  <c r="M648" i="62"/>
  <c r="L648" i="62"/>
  <c r="K648" i="62"/>
  <c r="J648" i="62"/>
  <c r="M647" i="62"/>
  <c r="L647" i="62"/>
  <c r="K647" i="62"/>
  <c r="J647" i="62"/>
  <c r="M646" i="62"/>
  <c r="L646" i="62"/>
  <c r="K646" i="62"/>
  <c r="J646" i="62"/>
  <c r="M645" i="62"/>
  <c r="L645" i="62"/>
  <c r="K645" i="62"/>
  <c r="J645" i="62"/>
  <c r="M644" i="62"/>
  <c r="L644" i="62"/>
  <c r="K644" i="62"/>
  <c r="J644" i="62"/>
  <c r="M643" i="62"/>
  <c r="L643" i="62"/>
  <c r="K643" i="62"/>
  <c r="J643" i="62"/>
  <c r="M642" i="62"/>
  <c r="L642" i="62"/>
  <c r="K642" i="62"/>
  <c r="J642" i="62"/>
  <c r="M641" i="62"/>
  <c r="L641" i="62"/>
  <c r="K641" i="62"/>
  <c r="J641" i="62"/>
  <c r="M640" i="62"/>
  <c r="L640" i="62"/>
  <c r="K640" i="62"/>
  <c r="J640" i="62"/>
  <c r="M639" i="62"/>
  <c r="L639" i="62"/>
  <c r="K639" i="62"/>
  <c r="J639" i="62"/>
  <c r="M638" i="62"/>
  <c r="L638" i="62"/>
  <c r="K638" i="62"/>
  <c r="J638" i="62"/>
  <c r="M637" i="62"/>
  <c r="L637" i="62"/>
  <c r="K637" i="62"/>
  <c r="J637" i="62"/>
  <c r="M636" i="62"/>
  <c r="L636" i="62"/>
  <c r="K636" i="62"/>
  <c r="J636" i="62"/>
  <c r="M635" i="62"/>
  <c r="L635" i="62"/>
  <c r="K635" i="62"/>
  <c r="J635" i="62"/>
  <c r="M634" i="62"/>
  <c r="L634" i="62"/>
  <c r="K634" i="62"/>
  <c r="J634" i="62"/>
  <c r="M633" i="62"/>
  <c r="L633" i="62"/>
  <c r="K633" i="62"/>
  <c r="J633" i="62"/>
  <c r="M632" i="62"/>
  <c r="L632" i="62"/>
  <c r="K632" i="62"/>
  <c r="J632" i="62"/>
  <c r="M631" i="62"/>
  <c r="L631" i="62"/>
  <c r="K631" i="62"/>
  <c r="J631" i="62"/>
  <c r="M630" i="62"/>
  <c r="L630" i="62"/>
  <c r="K630" i="62"/>
  <c r="J630" i="62"/>
  <c r="M629" i="62"/>
  <c r="L629" i="62"/>
  <c r="K629" i="62"/>
  <c r="J629" i="62"/>
  <c r="M628" i="62"/>
  <c r="L628" i="62"/>
  <c r="K628" i="62"/>
  <c r="J628" i="62"/>
  <c r="M627" i="62"/>
  <c r="L627" i="62"/>
  <c r="K627" i="62"/>
  <c r="J627" i="62"/>
  <c r="M626" i="62"/>
  <c r="L626" i="62"/>
  <c r="K626" i="62"/>
  <c r="J626" i="62"/>
  <c r="M625" i="62"/>
  <c r="L625" i="62"/>
  <c r="K625" i="62"/>
  <c r="J625" i="62"/>
  <c r="M624" i="62"/>
  <c r="L624" i="62"/>
  <c r="K624" i="62"/>
  <c r="J624" i="62"/>
  <c r="M623" i="62"/>
  <c r="L623" i="62"/>
  <c r="K623" i="62"/>
  <c r="J623" i="62"/>
  <c r="M622" i="62"/>
  <c r="L622" i="62"/>
  <c r="K622" i="62"/>
  <c r="J622" i="62"/>
  <c r="M621" i="62"/>
  <c r="L621" i="62"/>
  <c r="K621" i="62"/>
  <c r="J621" i="62"/>
  <c r="M620" i="62"/>
  <c r="L620" i="62"/>
  <c r="K620" i="62"/>
  <c r="J620" i="62"/>
  <c r="M619" i="62"/>
  <c r="L619" i="62"/>
  <c r="K619" i="62"/>
  <c r="J619" i="62"/>
  <c r="M618" i="62"/>
  <c r="L618" i="62"/>
  <c r="K618" i="62"/>
  <c r="J618" i="62"/>
  <c r="M617" i="62"/>
  <c r="L617" i="62"/>
  <c r="K617" i="62"/>
  <c r="J617" i="62"/>
  <c r="M616" i="62"/>
  <c r="L616" i="62"/>
  <c r="K616" i="62"/>
  <c r="J616" i="62"/>
  <c r="M615" i="62"/>
  <c r="L615" i="62"/>
  <c r="K615" i="62"/>
  <c r="J615" i="62"/>
  <c r="M614" i="62"/>
  <c r="L614" i="62"/>
  <c r="K614" i="62"/>
  <c r="J614" i="62"/>
  <c r="M613" i="62"/>
  <c r="L613" i="62"/>
  <c r="K613" i="62"/>
  <c r="J613" i="62"/>
  <c r="M612" i="62"/>
  <c r="L612" i="62"/>
  <c r="K612" i="62"/>
  <c r="J612" i="62"/>
  <c r="M611" i="62"/>
  <c r="L611" i="62"/>
  <c r="K611" i="62"/>
  <c r="J611" i="62"/>
  <c r="M610" i="62"/>
  <c r="L610" i="62"/>
  <c r="K610" i="62"/>
  <c r="J610" i="62"/>
  <c r="M609" i="62"/>
  <c r="L609" i="62"/>
  <c r="K609" i="62"/>
  <c r="J609" i="62"/>
  <c r="M608" i="62"/>
  <c r="L608" i="62"/>
  <c r="K608" i="62"/>
  <c r="J608" i="62"/>
  <c r="M607" i="62"/>
  <c r="L607" i="62"/>
  <c r="K607" i="62"/>
  <c r="J607" i="62"/>
  <c r="M606" i="62"/>
  <c r="L606" i="62"/>
  <c r="K606" i="62"/>
  <c r="J606" i="62"/>
  <c r="M605" i="62"/>
  <c r="L605" i="62"/>
  <c r="K605" i="62"/>
  <c r="J605" i="62"/>
  <c r="M604" i="62"/>
  <c r="L604" i="62"/>
  <c r="K604" i="62"/>
  <c r="J604" i="62"/>
  <c r="M603" i="62"/>
  <c r="L603" i="62"/>
  <c r="K603" i="62"/>
  <c r="J603" i="62"/>
  <c r="M602" i="62"/>
  <c r="L602" i="62"/>
  <c r="K602" i="62"/>
  <c r="J602" i="62"/>
  <c r="M601" i="62"/>
  <c r="L601" i="62"/>
  <c r="K601" i="62"/>
  <c r="J601" i="62"/>
  <c r="M600" i="62"/>
  <c r="L600" i="62"/>
  <c r="K600" i="62"/>
  <c r="J600" i="62"/>
  <c r="M599" i="62"/>
  <c r="L599" i="62"/>
  <c r="K599" i="62"/>
  <c r="J599" i="62"/>
  <c r="M598" i="62"/>
  <c r="L598" i="62"/>
  <c r="K598" i="62"/>
  <c r="J598" i="62"/>
  <c r="M597" i="62"/>
  <c r="L597" i="62"/>
  <c r="K597" i="62"/>
  <c r="J597" i="62"/>
  <c r="M596" i="62"/>
  <c r="L596" i="62"/>
  <c r="K596" i="62"/>
  <c r="J596" i="62"/>
  <c r="M595" i="62"/>
  <c r="L595" i="62"/>
  <c r="K595" i="62"/>
  <c r="J595" i="62"/>
  <c r="M594" i="62"/>
  <c r="L594" i="62"/>
  <c r="K594" i="62"/>
  <c r="J594" i="62"/>
  <c r="M593" i="62"/>
  <c r="L593" i="62"/>
  <c r="K593" i="62"/>
  <c r="J593" i="62"/>
  <c r="M592" i="62"/>
  <c r="L592" i="62"/>
  <c r="K592" i="62"/>
  <c r="J592" i="62"/>
  <c r="M591" i="62"/>
  <c r="L591" i="62"/>
  <c r="K591" i="62"/>
  <c r="J591" i="62"/>
  <c r="M590" i="62"/>
  <c r="L590" i="62"/>
  <c r="K590" i="62"/>
  <c r="J590" i="62"/>
  <c r="M589" i="62"/>
  <c r="L589" i="62"/>
  <c r="K589" i="62"/>
  <c r="J589" i="62"/>
  <c r="M588" i="62"/>
  <c r="L588" i="62"/>
  <c r="K588" i="62"/>
  <c r="J588" i="62"/>
  <c r="M587" i="62"/>
  <c r="L587" i="62"/>
  <c r="K587" i="62"/>
  <c r="J587" i="62"/>
  <c r="M586" i="62"/>
  <c r="L586" i="62"/>
  <c r="K586" i="62"/>
  <c r="J586" i="62"/>
  <c r="M585" i="62"/>
  <c r="L585" i="62"/>
  <c r="K585" i="62"/>
  <c r="J585" i="62"/>
  <c r="M584" i="62"/>
  <c r="L584" i="62"/>
  <c r="K584" i="62"/>
  <c r="J584" i="62"/>
  <c r="M583" i="62"/>
  <c r="L583" i="62"/>
  <c r="K583" i="62"/>
  <c r="J583" i="62"/>
  <c r="M582" i="62"/>
  <c r="L582" i="62"/>
  <c r="K582" i="62"/>
  <c r="J582" i="62"/>
  <c r="M581" i="62"/>
  <c r="L581" i="62"/>
  <c r="K581" i="62"/>
  <c r="J581" i="62"/>
  <c r="M580" i="62"/>
  <c r="L580" i="62"/>
  <c r="K580" i="62"/>
  <c r="J580" i="62"/>
  <c r="M579" i="62"/>
  <c r="L579" i="62"/>
  <c r="K579" i="62"/>
  <c r="J579" i="62"/>
  <c r="M578" i="62"/>
  <c r="L578" i="62"/>
  <c r="K578" i="62"/>
  <c r="J578" i="62"/>
  <c r="M577" i="62"/>
  <c r="L577" i="62"/>
  <c r="K577" i="62"/>
  <c r="J577" i="62"/>
  <c r="M576" i="62"/>
  <c r="L576" i="62"/>
  <c r="K576" i="62"/>
  <c r="J576" i="62"/>
  <c r="M575" i="62"/>
  <c r="L575" i="62"/>
  <c r="K575" i="62"/>
  <c r="J575" i="62"/>
  <c r="M574" i="62"/>
  <c r="L574" i="62"/>
  <c r="K574" i="62"/>
  <c r="J574" i="62"/>
  <c r="M573" i="62"/>
  <c r="L573" i="62"/>
  <c r="K573" i="62"/>
  <c r="J573" i="62"/>
  <c r="M572" i="62"/>
  <c r="L572" i="62"/>
  <c r="K572" i="62"/>
  <c r="J572" i="62"/>
  <c r="M571" i="62"/>
  <c r="L571" i="62"/>
  <c r="K571" i="62"/>
  <c r="J571" i="62"/>
  <c r="M570" i="62"/>
  <c r="L570" i="62"/>
  <c r="K570" i="62"/>
  <c r="J570" i="62"/>
  <c r="M569" i="62"/>
  <c r="L569" i="62"/>
  <c r="K569" i="62"/>
  <c r="J569" i="62"/>
  <c r="M568" i="62"/>
  <c r="L568" i="62"/>
  <c r="K568" i="62"/>
  <c r="J568" i="62"/>
  <c r="M567" i="62"/>
  <c r="L567" i="62"/>
  <c r="K567" i="62"/>
  <c r="J567" i="62"/>
  <c r="M566" i="62"/>
  <c r="L566" i="62"/>
  <c r="K566" i="62"/>
  <c r="J566" i="62"/>
  <c r="M565" i="62"/>
  <c r="L565" i="62"/>
  <c r="K565" i="62"/>
  <c r="J565" i="62"/>
  <c r="M564" i="62"/>
  <c r="L564" i="62"/>
  <c r="K564" i="62"/>
  <c r="J564" i="62"/>
  <c r="M563" i="62"/>
  <c r="L563" i="62"/>
  <c r="K563" i="62"/>
  <c r="J563" i="62"/>
  <c r="M562" i="62"/>
  <c r="L562" i="62"/>
  <c r="K562" i="62"/>
  <c r="J562" i="62"/>
  <c r="M561" i="62"/>
  <c r="L561" i="62"/>
  <c r="K561" i="62"/>
  <c r="J561" i="62"/>
  <c r="M560" i="62"/>
  <c r="L560" i="62"/>
  <c r="K560" i="62"/>
  <c r="J560" i="62"/>
  <c r="M559" i="62"/>
  <c r="L559" i="62"/>
  <c r="K559" i="62"/>
  <c r="J559" i="62"/>
  <c r="M558" i="62"/>
  <c r="L558" i="62"/>
  <c r="K558" i="62"/>
  <c r="J558" i="62"/>
  <c r="M557" i="62"/>
  <c r="L557" i="62"/>
  <c r="K557" i="62"/>
  <c r="J557" i="62"/>
  <c r="M556" i="62"/>
  <c r="L556" i="62"/>
  <c r="K556" i="62"/>
  <c r="J556" i="62"/>
  <c r="M555" i="62"/>
  <c r="L555" i="62"/>
  <c r="K555" i="62"/>
  <c r="J555" i="62"/>
  <c r="M554" i="62"/>
  <c r="L554" i="62"/>
  <c r="K554" i="62"/>
  <c r="J554" i="62"/>
  <c r="M553" i="62"/>
  <c r="L553" i="62"/>
  <c r="K553" i="62"/>
  <c r="J553" i="62"/>
  <c r="M552" i="62"/>
  <c r="L552" i="62"/>
  <c r="K552" i="62"/>
  <c r="J552" i="62"/>
  <c r="M551" i="62"/>
  <c r="L551" i="62"/>
  <c r="K551" i="62"/>
  <c r="J551" i="62"/>
  <c r="M550" i="62"/>
  <c r="L550" i="62"/>
  <c r="K550" i="62"/>
  <c r="J550" i="62"/>
  <c r="M549" i="62"/>
  <c r="L549" i="62"/>
  <c r="K549" i="62"/>
  <c r="J549" i="62"/>
  <c r="M548" i="62"/>
  <c r="L548" i="62"/>
  <c r="K548" i="62"/>
  <c r="J548" i="62"/>
  <c r="M547" i="62"/>
  <c r="L547" i="62"/>
  <c r="K547" i="62"/>
  <c r="J547" i="62"/>
  <c r="M546" i="62"/>
  <c r="L546" i="62"/>
  <c r="K546" i="62"/>
  <c r="J546" i="62"/>
  <c r="M545" i="62"/>
  <c r="L545" i="62"/>
  <c r="K545" i="62"/>
  <c r="J545" i="62"/>
  <c r="M544" i="62"/>
  <c r="L544" i="62"/>
  <c r="K544" i="62"/>
  <c r="J544" i="62"/>
  <c r="M543" i="62"/>
  <c r="L543" i="62"/>
  <c r="K543" i="62"/>
  <c r="J543" i="62"/>
  <c r="M542" i="62"/>
  <c r="L542" i="62"/>
  <c r="K542" i="62"/>
  <c r="J542" i="62"/>
  <c r="M541" i="62"/>
  <c r="L541" i="62"/>
  <c r="K541" i="62"/>
  <c r="J541" i="62"/>
  <c r="M540" i="62"/>
  <c r="L540" i="62"/>
  <c r="K540" i="62"/>
  <c r="J540" i="62"/>
  <c r="M539" i="62"/>
  <c r="L539" i="62"/>
  <c r="K539" i="62"/>
  <c r="J539" i="62"/>
  <c r="M538" i="62"/>
  <c r="L538" i="62"/>
  <c r="K538" i="62"/>
  <c r="J538" i="62"/>
  <c r="M537" i="62"/>
  <c r="L537" i="62"/>
  <c r="K537" i="62"/>
  <c r="J537" i="62"/>
  <c r="M536" i="62"/>
  <c r="L536" i="62"/>
  <c r="K536" i="62"/>
  <c r="J536" i="62"/>
  <c r="M535" i="62"/>
  <c r="L535" i="62"/>
  <c r="K535" i="62"/>
  <c r="J535" i="62"/>
  <c r="M534" i="62"/>
  <c r="L534" i="62"/>
  <c r="K534" i="62"/>
  <c r="J534" i="62"/>
  <c r="M533" i="62"/>
  <c r="L533" i="62"/>
  <c r="K533" i="62"/>
  <c r="J533" i="62"/>
  <c r="M532" i="62"/>
  <c r="L532" i="62"/>
  <c r="K532" i="62"/>
  <c r="J532" i="62"/>
  <c r="M531" i="62"/>
  <c r="L531" i="62"/>
  <c r="K531" i="62"/>
  <c r="J531" i="62"/>
  <c r="M530" i="62"/>
  <c r="L530" i="62"/>
  <c r="K530" i="62"/>
  <c r="J530" i="62"/>
  <c r="M529" i="62"/>
  <c r="L529" i="62"/>
  <c r="K529" i="62"/>
  <c r="J529" i="62"/>
  <c r="M528" i="62"/>
  <c r="L528" i="62"/>
  <c r="K528" i="62"/>
  <c r="J528" i="62"/>
  <c r="M527" i="62"/>
  <c r="L527" i="62"/>
  <c r="K527" i="62"/>
  <c r="J527" i="62"/>
  <c r="M526" i="62"/>
  <c r="L526" i="62"/>
  <c r="K526" i="62"/>
  <c r="J526" i="62"/>
  <c r="M525" i="62"/>
  <c r="L525" i="62"/>
  <c r="K525" i="62"/>
  <c r="J525" i="62"/>
  <c r="M524" i="62"/>
  <c r="L524" i="62"/>
  <c r="K524" i="62"/>
  <c r="J524" i="62"/>
  <c r="M523" i="62"/>
  <c r="L523" i="62"/>
  <c r="K523" i="62"/>
  <c r="J523" i="62"/>
  <c r="M522" i="62"/>
  <c r="L522" i="62"/>
  <c r="K522" i="62"/>
  <c r="J522" i="62"/>
  <c r="M521" i="62"/>
  <c r="L521" i="62"/>
  <c r="K521" i="62"/>
  <c r="J521" i="62"/>
  <c r="M520" i="62"/>
  <c r="L520" i="62"/>
  <c r="K520" i="62"/>
  <c r="J520" i="62"/>
  <c r="M519" i="62"/>
  <c r="L519" i="62"/>
  <c r="K519" i="62"/>
  <c r="J519" i="62"/>
  <c r="M518" i="62"/>
  <c r="L518" i="62"/>
  <c r="K518" i="62"/>
  <c r="J518" i="62"/>
  <c r="M517" i="62"/>
  <c r="L517" i="62"/>
  <c r="K517" i="62"/>
  <c r="J517" i="62"/>
  <c r="M516" i="62"/>
  <c r="L516" i="62"/>
  <c r="K516" i="62"/>
  <c r="J516" i="62"/>
  <c r="M515" i="62"/>
  <c r="L515" i="62"/>
  <c r="K515" i="62"/>
  <c r="J515" i="62"/>
  <c r="M514" i="62"/>
  <c r="L514" i="62"/>
  <c r="K514" i="62"/>
  <c r="J514" i="62"/>
  <c r="M513" i="62"/>
  <c r="L513" i="62"/>
  <c r="K513" i="62"/>
  <c r="J513" i="62"/>
  <c r="M512" i="62"/>
  <c r="L512" i="62"/>
  <c r="K512" i="62"/>
  <c r="J512" i="62"/>
  <c r="M511" i="62"/>
  <c r="L511" i="62"/>
  <c r="K511" i="62"/>
  <c r="J511" i="62"/>
  <c r="M510" i="62"/>
  <c r="L510" i="62"/>
  <c r="K510" i="62"/>
  <c r="J510" i="62"/>
  <c r="M509" i="62"/>
  <c r="L509" i="62"/>
  <c r="K509" i="62"/>
  <c r="J509" i="62"/>
  <c r="M508" i="62"/>
  <c r="L508" i="62"/>
  <c r="K508" i="62"/>
  <c r="J508" i="62"/>
  <c r="M507" i="62"/>
  <c r="L507" i="62"/>
  <c r="K507" i="62"/>
  <c r="J507" i="62"/>
  <c r="M506" i="62"/>
  <c r="L506" i="62"/>
  <c r="K506" i="62"/>
  <c r="J506" i="62"/>
  <c r="M505" i="62"/>
  <c r="L505" i="62"/>
  <c r="K505" i="62"/>
  <c r="J505" i="62"/>
  <c r="M504" i="62"/>
  <c r="L504" i="62"/>
  <c r="K504" i="62"/>
  <c r="J504" i="62"/>
  <c r="M503" i="62"/>
  <c r="L503" i="62"/>
  <c r="K503" i="62"/>
  <c r="J503" i="62"/>
  <c r="M502" i="62"/>
  <c r="L502" i="62"/>
  <c r="K502" i="62"/>
  <c r="J502" i="62"/>
  <c r="M501" i="62"/>
  <c r="L501" i="62"/>
  <c r="K501" i="62"/>
  <c r="J501" i="62"/>
  <c r="M500" i="62"/>
  <c r="L500" i="62"/>
  <c r="K500" i="62"/>
  <c r="J500" i="62"/>
  <c r="M499" i="62"/>
  <c r="L499" i="62"/>
  <c r="K499" i="62"/>
  <c r="J499" i="62"/>
  <c r="M498" i="62"/>
  <c r="L498" i="62"/>
  <c r="K498" i="62"/>
  <c r="J498" i="62"/>
  <c r="M497" i="62"/>
  <c r="L497" i="62"/>
  <c r="K497" i="62"/>
  <c r="J497" i="62"/>
  <c r="M496" i="62"/>
  <c r="L496" i="62"/>
  <c r="K496" i="62"/>
  <c r="J496" i="62"/>
  <c r="M495" i="62"/>
  <c r="L495" i="62"/>
  <c r="K495" i="62"/>
  <c r="J495" i="62"/>
  <c r="M494" i="62"/>
  <c r="L494" i="62"/>
  <c r="K494" i="62"/>
  <c r="J494" i="62"/>
  <c r="M493" i="62"/>
  <c r="L493" i="62"/>
  <c r="K493" i="62"/>
  <c r="J493" i="62"/>
  <c r="M492" i="62"/>
  <c r="L492" i="62"/>
  <c r="K492" i="62"/>
  <c r="J492" i="62"/>
  <c r="M491" i="62"/>
  <c r="L491" i="62"/>
  <c r="K491" i="62"/>
  <c r="J491" i="62"/>
  <c r="M490" i="62"/>
  <c r="L490" i="62"/>
  <c r="K490" i="62"/>
  <c r="J490" i="62"/>
  <c r="M489" i="62"/>
  <c r="L489" i="62"/>
  <c r="K489" i="62"/>
  <c r="J489" i="62"/>
  <c r="M488" i="62"/>
  <c r="L488" i="62"/>
  <c r="K488" i="62"/>
  <c r="J488" i="62"/>
  <c r="M487" i="62"/>
  <c r="L487" i="62"/>
  <c r="K487" i="62"/>
  <c r="J487" i="62"/>
  <c r="M486" i="62"/>
  <c r="L486" i="62"/>
  <c r="K486" i="62"/>
  <c r="J486" i="62"/>
  <c r="M485" i="62"/>
  <c r="L485" i="62"/>
  <c r="K485" i="62"/>
  <c r="J485" i="62"/>
  <c r="M484" i="62"/>
  <c r="L484" i="62"/>
  <c r="K484" i="62"/>
  <c r="J484" i="62"/>
  <c r="M483" i="62"/>
  <c r="L483" i="62"/>
  <c r="K483" i="62"/>
  <c r="J483" i="62"/>
  <c r="M482" i="62"/>
  <c r="L482" i="62"/>
  <c r="K482" i="62"/>
  <c r="J482" i="62"/>
  <c r="M481" i="62"/>
  <c r="L481" i="62"/>
  <c r="K481" i="62"/>
  <c r="J481" i="62"/>
  <c r="M480" i="62"/>
  <c r="L480" i="62"/>
  <c r="K480" i="62"/>
  <c r="J480" i="62"/>
  <c r="M479" i="62"/>
  <c r="L479" i="62"/>
  <c r="K479" i="62"/>
  <c r="J479" i="62"/>
  <c r="M478" i="62"/>
  <c r="L478" i="62"/>
  <c r="K478" i="62"/>
  <c r="J478" i="62"/>
  <c r="M477" i="62"/>
  <c r="L477" i="62"/>
  <c r="K477" i="62"/>
  <c r="J477" i="62"/>
  <c r="M476" i="62"/>
  <c r="L476" i="62"/>
  <c r="K476" i="62"/>
  <c r="J476" i="62"/>
  <c r="M475" i="62"/>
  <c r="L475" i="62"/>
  <c r="K475" i="62"/>
  <c r="J475" i="62"/>
  <c r="M474" i="62"/>
  <c r="L474" i="62"/>
  <c r="K474" i="62"/>
  <c r="J474" i="62"/>
  <c r="M473" i="62"/>
  <c r="L473" i="62"/>
  <c r="K473" i="62"/>
  <c r="J473" i="62"/>
  <c r="M472" i="62"/>
  <c r="L472" i="62"/>
  <c r="K472" i="62"/>
  <c r="J472" i="62"/>
  <c r="M471" i="62"/>
  <c r="L471" i="62"/>
  <c r="K471" i="62"/>
  <c r="J471" i="62"/>
  <c r="M470" i="62"/>
  <c r="L470" i="62"/>
  <c r="K470" i="62"/>
  <c r="J470" i="62"/>
  <c r="M469" i="62"/>
  <c r="L469" i="62"/>
  <c r="K469" i="62"/>
  <c r="J469" i="62"/>
  <c r="M468" i="62"/>
  <c r="L468" i="62"/>
  <c r="K468" i="62"/>
  <c r="J468" i="62"/>
  <c r="M467" i="62"/>
  <c r="L467" i="62"/>
  <c r="K467" i="62"/>
  <c r="J467" i="62"/>
  <c r="M466" i="62"/>
  <c r="L466" i="62"/>
  <c r="K466" i="62"/>
  <c r="J466" i="62"/>
  <c r="M465" i="62"/>
  <c r="L465" i="62"/>
  <c r="K465" i="62"/>
  <c r="J465" i="62"/>
  <c r="M464" i="62"/>
  <c r="L464" i="62"/>
  <c r="K464" i="62"/>
  <c r="J464" i="62"/>
  <c r="M463" i="62"/>
  <c r="L463" i="62"/>
  <c r="K463" i="62"/>
  <c r="J463" i="62"/>
  <c r="M462" i="62"/>
  <c r="L462" i="62"/>
  <c r="K462" i="62"/>
  <c r="J462" i="62"/>
  <c r="M461" i="62"/>
  <c r="L461" i="62"/>
  <c r="K461" i="62"/>
  <c r="J461" i="62"/>
  <c r="M460" i="62"/>
  <c r="L460" i="62"/>
  <c r="K460" i="62"/>
  <c r="J460" i="62"/>
  <c r="M459" i="62"/>
  <c r="L459" i="62"/>
  <c r="K459" i="62"/>
  <c r="J459" i="62"/>
  <c r="M458" i="62"/>
  <c r="L458" i="62"/>
  <c r="K458" i="62"/>
  <c r="J458" i="62"/>
  <c r="M457" i="62"/>
  <c r="L457" i="62"/>
  <c r="K457" i="62"/>
  <c r="J457" i="62"/>
  <c r="M456" i="62"/>
  <c r="L456" i="62"/>
  <c r="K456" i="62"/>
  <c r="J456" i="62"/>
  <c r="M455" i="62"/>
  <c r="L455" i="62"/>
  <c r="K455" i="62"/>
  <c r="J455" i="62"/>
  <c r="M454" i="62"/>
  <c r="L454" i="62"/>
  <c r="K454" i="62"/>
  <c r="J454" i="62"/>
  <c r="M453" i="62"/>
  <c r="L453" i="62"/>
  <c r="K453" i="62"/>
  <c r="J453" i="62"/>
  <c r="M452" i="62"/>
  <c r="L452" i="62"/>
  <c r="K452" i="62"/>
  <c r="J452" i="62"/>
  <c r="M451" i="62"/>
  <c r="L451" i="62"/>
  <c r="K451" i="62"/>
  <c r="J451" i="62"/>
  <c r="M450" i="62"/>
  <c r="L450" i="62"/>
  <c r="K450" i="62"/>
  <c r="J450" i="62"/>
  <c r="M449" i="62"/>
  <c r="L449" i="62"/>
  <c r="K449" i="62"/>
  <c r="J449" i="62"/>
  <c r="M448" i="62"/>
  <c r="L448" i="62"/>
  <c r="K448" i="62"/>
  <c r="J448" i="62"/>
  <c r="M447" i="62"/>
  <c r="L447" i="62"/>
  <c r="K447" i="62"/>
  <c r="J447" i="62"/>
  <c r="M446" i="62"/>
  <c r="L446" i="62"/>
  <c r="K446" i="62"/>
  <c r="J446" i="62"/>
  <c r="M445" i="62"/>
  <c r="L445" i="62"/>
  <c r="K445" i="62"/>
  <c r="J445" i="62"/>
  <c r="M444" i="62"/>
  <c r="L444" i="62"/>
  <c r="K444" i="62"/>
  <c r="J444" i="62"/>
  <c r="M443" i="62"/>
  <c r="L443" i="62"/>
  <c r="K443" i="62"/>
  <c r="J443" i="62"/>
  <c r="M442" i="62"/>
  <c r="L442" i="62"/>
  <c r="K442" i="62"/>
  <c r="J442" i="62"/>
  <c r="M441" i="62"/>
  <c r="L441" i="62"/>
  <c r="K441" i="62"/>
  <c r="J441" i="62"/>
  <c r="M440" i="62"/>
  <c r="L440" i="62"/>
  <c r="K440" i="62"/>
  <c r="J440" i="62"/>
  <c r="M439" i="62"/>
  <c r="L439" i="62"/>
  <c r="K439" i="62"/>
  <c r="J439" i="62"/>
  <c r="M438" i="62"/>
  <c r="L438" i="62"/>
  <c r="K438" i="62"/>
  <c r="J438" i="62"/>
  <c r="M437" i="62"/>
  <c r="L437" i="62"/>
  <c r="K437" i="62"/>
  <c r="J437" i="62"/>
  <c r="M436" i="62"/>
  <c r="L436" i="62"/>
  <c r="K436" i="62"/>
  <c r="J436" i="62"/>
  <c r="M435" i="62"/>
  <c r="L435" i="62"/>
  <c r="K435" i="62"/>
  <c r="J435" i="62"/>
  <c r="M434" i="62"/>
  <c r="L434" i="62"/>
  <c r="K434" i="62"/>
  <c r="J434" i="62"/>
  <c r="M433" i="62"/>
  <c r="L433" i="62"/>
  <c r="K433" i="62"/>
  <c r="J433" i="62"/>
  <c r="M432" i="62"/>
  <c r="L432" i="62"/>
  <c r="K432" i="62"/>
  <c r="J432" i="62"/>
  <c r="M431" i="62"/>
  <c r="L431" i="62"/>
  <c r="K431" i="62"/>
  <c r="J431" i="62"/>
  <c r="M430" i="62"/>
  <c r="L430" i="62"/>
  <c r="K430" i="62"/>
  <c r="J430" i="62"/>
  <c r="M429" i="62"/>
  <c r="L429" i="62"/>
  <c r="K429" i="62"/>
  <c r="J429" i="62"/>
  <c r="M428" i="62"/>
  <c r="L428" i="62"/>
  <c r="K428" i="62"/>
  <c r="J428" i="62"/>
  <c r="M427" i="62"/>
  <c r="L427" i="62"/>
  <c r="K427" i="62"/>
  <c r="J427" i="62"/>
  <c r="M426" i="62"/>
  <c r="L426" i="62"/>
  <c r="K426" i="62"/>
  <c r="J426" i="62"/>
  <c r="M425" i="62"/>
  <c r="L425" i="62"/>
  <c r="K425" i="62"/>
  <c r="J425" i="62"/>
  <c r="M424" i="62"/>
  <c r="L424" i="62"/>
  <c r="K424" i="62"/>
  <c r="J424" i="62"/>
  <c r="M423" i="62"/>
  <c r="L423" i="62"/>
  <c r="K423" i="62"/>
  <c r="J423" i="62"/>
  <c r="M422" i="62"/>
  <c r="L422" i="62"/>
  <c r="K422" i="62"/>
  <c r="J422" i="62"/>
  <c r="M421" i="62"/>
  <c r="L421" i="62"/>
  <c r="K421" i="62"/>
  <c r="J421" i="62"/>
  <c r="M420" i="62"/>
  <c r="L420" i="62"/>
  <c r="K420" i="62"/>
  <c r="J420" i="62"/>
  <c r="M419" i="62"/>
  <c r="L419" i="62"/>
  <c r="K419" i="62"/>
  <c r="J419" i="62"/>
  <c r="M418" i="62"/>
  <c r="L418" i="62"/>
  <c r="K418" i="62"/>
  <c r="J418" i="62"/>
  <c r="M417" i="62"/>
  <c r="L417" i="62"/>
  <c r="K417" i="62"/>
  <c r="J417" i="62"/>
  <c r="M416" i="62"/>
  <c r="L416" i="62"/>
  <c r="K416" i="62"/>
  <c r="J416" i="62"/>
  <c r="M415" i="62"/>
  <c r="L415" i="62"/>
  <c r="K415" i="62"/>
  <c r="J415" i="62"/>
  <c r="M414" i="62"/>
  <c r="L414" i="62"/>
  <c r="K414" i="62"/>
  <c r="J414" i="62"/>
  <c r="M413" i="62"/>
  <c r="L413" i="62"/>
  <c r="K413" i="62"/>
  <c r="J413" i="62"/>
  <c r="M412" i="62"/>
  <c r="L412" i="62"/>
  <c r="K412" i="62"/>
  <c r="J412" i="62"/>
  <c r="M411" i="62"/>
  <c r="L411" i="62"/>
  <c r="K411" i="62"/>
  <c r="J411" i="62"/>
  <c r="M410" i="62"/>
  <c r="L410" i="62"/>
  <c r="K410" i="62"/>
  <c r="J410" i="62"/>
  <c r="M409" i="62"/>
  <c r="L409" i="62"/>
  <c r="K409" i="62"/>
  <c r="J409" i="62"/>
  <c r="M408" i="62"/>
  <c r="L408" i="62"/>
  <c r="K408" i="62"/>
  <c r="J408" i="62"/>
  <c r="M407" i="62"/>
  <c r="L407" i="62"/>
  <c r="K407" i="62"/>
  <c r="J407" i="62"/>
  <c r="M406" i="62"/>
  <c r="L406" i="62"/>
  <c r="K406" i="62"/>
  <c r="J406" i="62"/>
  <c r="M405" i="62"/>
  <c r="L405" i="62"/>
  <c r="K405" i="62"/>
  <c r="J405" i="62"/>
  <c r="M404" i="62"/>
  <c r="L404" i="62"/>
  <c r="K404" i="62"/>
  <c r="J404" i="62"/>
  <c r="M403" i="62"/>
  <c r="L403" i="62"/>
  <c r="K403" i="62"/>
  <c r="J403" i="62"/>
  <c r="M402" i="62"/>
  <c r="L402" i="62"/>
  <c r="K402" i="62"/>
  <c r="J402" i="62"/>
  <c r="M401" i="62"/>
  <c r="L401" i="62"/>
  <c r="K401" i="62"/>
  <c r="J401" i="62"/>
  <c r="M400" i="62"/>
  <c r="L400" i="62"/>
  <c r="K400" i="62"/>
  <c r="J400" i="62"/>
  <c r="M399" i="62"/>
  <c r="L399" i="62"/>
  <c r="K399" i="62"/>
  <c r="J399" i="62"/>
  <c r="M398" i="62"/>
  <c r="L398" i="62"/>
  <c r="K398" i="62"/>
  <c r="J398" i="62"/>
  <c r="M397" i="62"/>
  <c r="L397" i="62"/>
  <c r="K397" i="62"/>
  <c r="J397" i="62"/>
  <c r="M396" i="62"/>
  <c r="L396" i="62"/>
  <c r="K396" i="62"/>
  <c r="J396" i="62"/>
  <c r="M395" i="62"/>
  <c r="L395" i="62"/>
  <c r="K395" i="62"/>
  <c r="J395" i="62"/>
  <c r="M394" i="62"/>
  <c r="L394" i="62"/>
  <c r="K394" i="62"/>
  <c r="J394" i="62"/>
  <c r="M393" i="62"/>
  <c r="L393" i="62"/>
  <c r="K393" i="62"/>
  <c r="J393" i="62"/>
  <c r="M392" i="62"/>
  <c r="L392" i="62"/>
  <c r="K392" i="62"/>
  <c r="J392" i="62"/>
  <c r="M391" i="62"/>
  <c r="L391" i="62"/>
  <c r="K391" i="62"/>
  <c r="J391" i="62"/>
  <c r="M390" i="62"/>
  <c r="L390" i="62"/>
  <c r="K390" i="62"/>
  <c r="J390" i="62"/>
  <c r="M389" i="62"/>
  <c r="L389" i="62"/>
  <c r="K389" i="62"/>
  <c r="J389" i="62"/>
  <c r="M388" i="62"/>
  <c r="L388" i="62"/>
  <c r="K388" i="62"/>
  <c r="J388" i="62"/>
  <c r="M387" i="62"/>
  <c r="L387" i="62"/>
  <c r="K387" i="62"/>
  <c r="J387" i="62"/>
  <c r="M386" i="62"/>
  <c r="L386" i="62"/>
  <c r="K386" i="62"/>
  <c r="J386" i="62"/>
  <c r="M385" i="62"/>
  <c r="L385" i="62"/>
  <c r="K385" i="62"/>
  <c r="J385" i="62"/>
  <c r="M384" i="62"/>
  <c r="L384" i="62"/>
  <c r="K384" i="62"/>
  <c r="J384" i="62"/>
  <c r="M383" i="62"/>
  <c r="L383" i="62"/>
  <c r="K383" i="62"/>
  <c r="J383" i="62"/>
  <c r="M382" i="62"/>
  <c r="L382" i="62"/>
  <c r="K382" i="62"/>
  <c r="J382" i="62"/>
  <c r="M381" i="62"/>
  <c r="L381" i="62"/>
  <c r="K381" i="62"/>
  <c r="J381" i="62"/>
  <c r="M380" i="62"/>
  <c r="L380" i="62"/>
  <c r="K380" i="62"/>
  <c r="J380" i="62"/>
  <c r="M379" i="62"/>
  <c r="L379" i="62"/>
  <c r="K379" i="62"/>
  <c r="J379" i="62"/>
  <c r="M378" i="62"/>
  <c r="L378" i="62"/>
  <c r="K378" i="62"/>
  <c r="J378" i="62"/>
  <c r="M377" i="62"/>
  <c r="L377" i="62"/>
  <c r="K377" i="62"/>
  <c r="J377" i="62"/>
  <c r="M376" i="62"/>
  <c r="L376" i="62"/>
  <c r="K376" i="62"/>
  <c r="J376" i="62"/>
  <c r="M375" i="62"/>
  <c r="L375" i="62"/>
  <c r="K375" i="62"/>
  <c r="J375" i="62"/>
  <c r="M374" i="62"/>
  <c r="L374" i="62"/>
  <c r="K374" i="62"/>
  <c r="J374" i="62"/>
  <c r="M373" i="62"/>
  <c r="L373" i="62"/>
  <c r="K373" i="62"/>
  <c r="J373" i="62"/>
  <c r="M372" i="62"/>
  <c r="L372" i="62"/>
  <c r="K372" i="62"/>
  <c r="J372" i="62"/>
  <c r="M371" i="62"/>
  <c r="L371" i="62"/>
  <c r="K371" i="62"/>
  <c r="J371" i="62"/>
  <c r="M370" i="62"/>
  <c r="L370" i="62"/>
  <c r="K370" i="62"/>
  <c r="J370" i="62"/>
  <c r="M369" i="62"/>
  <c r="L369" i="62"/>
  <c r="K369" i="62"/>
  <c r="J369" i="62"/>
  <c r="M368" i="62"/>
  <c r="L368" i="62"/>
  <c r="K368" i="62"/>
  <c r="J368" i="62"/>
  <c r="M367" i="62"/>
  <c r="L367" i="62"/>
  <c r="K367" i="62"/>
  <c r="J367" i="62"/>
  <c r="M366" i="62"/>
  <c r="L366" i="62"/>
  <c r="K366" i="62"/>
  <c r="J366" i="62"/>
  <c r="M365" i="62"/>
  <c r="L365" i="62"/>
  <c r="K365" i="62"/>
  <c r="J365" i="62"/>
  <c r="M364" i="62"/>
  <c r="L364" i="62"/>
  <c r="K364" i="62"/>
  <c r="J364" i="62"/>
  <c r="M363" i="62"/>
  <c r="L363" i="62"/>
  <c r="K363" i="62"/>
  <c r="J363" i="62"/>
  <c r="M362" i="62"/>
  <c r="L362" i="62"/>
  <c r="K362" i="62"/>
  <c r="J362" i="62"/>
  <c r="M361" i="62"/>
  <c r="L361" i="62"/>
  <c r="K361" i="62"/>
  <c r="J361" i="62"/>
  <c r="M360" i="62"/>
  <c r="L360" i="62"/>
  <c r="K360" i="62"/>
  <c r="J360" i="62"/>
  <c r="M359" i="62"/>
  <c r="L359" i="62"/>
  <c r="K359" i="62"/>
  <c r="J359" i="62"/>
  <c r="M358" i="62"/>
  <c r="L358" i="62"/>
  <c r="K358" i="62"/>
  <c r="J358" i="62"/>
  <c r="M357" i="62"/>
  <c r="L357" i="62"/>
  <c r="K357" i="62"/>
  <c r="J357" i="62"/>
  <c r="M356" i="62"/>
  <c r="L356" i="62"/>
  <c r="K356" i="62"/>
  <c r="J356" i="62"/>
  <c r="M355" i="62"/>
  <c r="L355" i="62"/>
  <c r="K355" i="62"/>
  <c r="J355" i="62"/>
  <c r="M354" i="62"/>
  <c r="L354" i="62"/>
  <c r="K354" i="62"/>
  <c r="J354" i="62"/>
  <c r="M353" i="62"/>
  <c r="L353" i="62"/>
  <c r="K353" i="62"/>
  <c r="J353" i="62"/>
  <c r="M352" i="62"/>
  <c r="L352" i="62"/>
  <c r="K352" i="62"/>
  <c r="J352" i="62"/>
  <c r="M351" i="62"/>
  <c r="L351" i="62"/>
  <c r="K351" i="62"/>
  <c r="J351" i="62"/>
  <c r="M350" i="62"/>
  <c r="L350" i="62"/>
  <c r="K350" i="62"/>
  <c r="J350" i="62"/>
  <c r="M349" i="62"/>
  <c r="L349" i="62"/>
  <c r="K349" i="62"/>
  <c r="J349" i="62"/>
  <c r="M348" i="62"/>
  <c r="L348" i="62"/>
  <c r="K348" i="62"/>
  <c r="J348" i="62"/>
  <c r="M347" i="62"/>
  <c r="L347" i="62"/>
  <c r="K347" i="62"/>
  <c r="J347" i="62"/>
  <c r="M346" i="62"/>
  <c r="L346" i="62"/>
  <c r="K346" i="62"/>
  <c r="J346" i="62"/>
  <c r="M345" i="62"/>
  <c r="L345" i="62"/>
  <c r="K345" i="62"/>
  <c r="J345" i="62"/>
  <c r="M344" i="62"/>
  <c r="L344" i="62"/>
  <c r="K344" i="62"/>
  <c r="J344" i="62"/>
  <c r="M343" i="62"/>
  <c r="L343" i="62"/>
  <c r="K343" i="62"/>
  <c r="J343" i="62"/>
  <c r="M342" i="62"/>
  <c r="L342" i="62"/>
  <c r="K342" i="62"/>
  <c r="J342" i="62"/>
  <c r="M341" i="62"/>
  <c r="L341" i="62"/>
  <c r="K341" i="62"/>
  <c r="J341" i="62"/>
  <c r="M340" i="62"/>
  <c r="L340" i="62"/>
  <c r="K340" i="62"/>
  <c r="J340" i="62"/>
  <c r="M339" i="62"/>
  <c r="L339" i="62"/>
  <c r="K339" i="62"/>
  <c r="J339" i="62"/>
  <c r="M338" i="62"/>
  <c r="L338" i="62"/>
  <c r="K338" i="62"/>
  <c r="J338" i="62"/>
  <c r="M337" i="62"/>
  <c r="L337" i="62"/>
  <c r="K337" i="62"/>
  <c r="J337" i="62"/>
  <c r="M336" i="62"/>
  <c r="L336" i="62"/>
  <c r="K336" i="62"/>
  <c r="J336" i="62"/>
  <c r="M335" i="62"/>
  <c r="L335" i="62"/>
  <c r="K335" i="62"/>
  <c r="J335" i="62"/>
  <c r="M334" i="62"/>
  <c r="L334" i="62"/>
  <c r="K334" i="62"/>
  <c r="J334" i="62"/>
  <c r="M333" i="62"/>
  <c r="L333" i="62"/>
  <c r="K333" i="62"/>
  <c r="J333" i="62"/>
  <c r="M332" i="62"/>
  <c r="L332" i="62"/>
  <c r="K332" i="62"/>
  <c r="J332" i="62"/>
  <c r="M331" i="62"/>
  <c r="L331" i="62"/>
  <c r="K331" i="62"/>
  <c r="J331" i="62"/>
  <c r="M330" i="62"/>
  <c r="L330" i="62"/>
  <c r="K330" i="62"/>
  <c r="J330" i="62"/>
  <c r="M329" i="62"/>
  <c r="L329" i="62"/>
  <c r="K329" i="62"/>
  <c r="J329" i="62"/>
  <c r="M328" i="62"/>
  <c r="L328" i="62"/>
  <c r="K328" i="62"/>
  <c r="J328" i="62"/>
  <c r="M327" i="62"/>
  <c r="L327" i="62"/>
  <c r="K327" i="62"/>
  <c r="J327" i="62"/>
  <c r="M326" i="62"/>
  <c r="L326" i="62"/>
  <c r="K326" i="62"/>
  <c r="J326" i="62"/>
  <c r="M325" i="62"/>
  <c r="L325" i="62"/>
  <c r="K325" i="62"/>
  <c r="J325" i="62"/>
  <c r="M324" i="62"/>
  <c r="L324" i="62"/>
  <c r="K324" i="62"/>
  <c r="J324" i="62"/>
  <c r="M323" i="62"/>
  <c r="L323" i="62"/>
  <c r="K323" i="62"/>
  <c r="J323" i="62"/>
  <c r="M322" i="62"/>
  <c r="L322" i="62"/>
  <c r="K322" i="62"/>
  <c r="J322" i="62"/>
  <c r="M321" i="62"/>
  <c r="L321" i="62"/>
  <c r="K321" i="62"/>
  <c r="J321" i="62"/>
  <c r="M320" i="62"/>
  <c r="L320" i="62"/>
  <c r="K320" i="62"/>
  <c r="J320" i="62"/>
  <c r="M319" i="62"/>
  <c r="L319" i="62"/>
  <c r="K319" i="62"/>
  <c r="J319" i="62"/>
  <c r="M318" i="62"/>
  <c r="L318" i="62"/>
  <c r="K318" i="62"/>
  <c r="J318" i="62"/>
  <c r="M317" i="62"/>
  <c r="L317" i="62"/>
  <c r="K317" i="62"/>
  <c r="J317" i="62"/>
  <c r="M316" i="62"/>
  <c r="L316" i="62"/>
  <c r="K316" i="62"/>
  <c r="J316" i="62"/>
  <c r="M315" i="62"/>
  <c r="L315" i="62"/>
  <c r="K315" i="62"/>
  <c r="J315" i="62"/>
  <c r="M314" i="62"/>
  <c r="L314" i="62"/>
  <c r="K314" i="62"/>
  <c r="J314" i="62"/>
  <c r="M313" i="62"/>
  <c r="L313" i="62"/>
  <c r="K313" i="62"/>
  <c r="J313" i="62"/>
  <c r="M312" i="62"/>
  <c r="L312" i="62"/>
  <c r="K312" i="62"/>
  <c r="J312" i="62"/>
  <c r="M311" i="62"/>
  <c r="L311" i="62"/>
  <c r="K311" i="62"/>
  <c r="J311" i="62"/>
  <c r="M310" i="62"/>
  <c r="L310" i="62"/>
  <c r="K310" i="62"/>
  <c r="J310" i="62"/>
  <c r="M309" i="62"/>
  <c r="L309" i="62"/>
  <c r="K309" i="62"/>
  <c r="J309" i="62"/>
  <c r="M308" i="62"/>
  <c r="L308" i="62"/>
  <c r="K308" i="62"/>
  <c r="J308" i="62"/>
  <c r="M307" i="62"/>
  <c r="L307" i="62"/>
  <c r="K307" i="62"/>
  <c r="J307" i="62"/>
  <c r="M306" i="62"/>
  <c r="L306" i="62"/>
  <c r="K306" i="62"/>
  <c r="J306" i="62"/>
  <c r="M305" i="62"/>
  <c r="L305" i="62"/>
  <c r="K305" i="62"/>
  <c r="J305" i="62"/>
  <c r="M304" i="62"/>
  <c r="L304" i="62"/>
  <c r="K304" i="62"/>
  <c r="J304" i="62"/>
  <c r="M303" i="62"/>
  <c r="L303" i="62"/>
  <c r="K303" i="62"/>
  <c r="J303" i="62"/>
  <c r="M302" i="62"/>
  <c r="L302" i="62"/>
  <c r="K302" i="62"/>
  <c r="J302" i="62"/>
  <c r="M301" i="62"/>
  <c r="L301" i="62"/>
  <c r="K301" i="62"/>
  <c r="J301" i="62"/>
  <c r="M300" i="62"/>
  <c r="L300" i="62"/>
  <c r="K300" i="62"/>
  <c r="J300" i="62"/>
  <c r="M299" i="62"/>
  <c r="L299" i="62"/>
  <c r="K299" i="62"/>
  <c r="J299" i="62"/>
  <c r="M298" i="62"/>
  <c r="L298" i="62"/>
  <c r="K298" i="62"/>
  <c r="J298" i="62"/>
  <c r="M297" i="62"/>
  <c r="L297" i="62"/>
  <c r="K297" i="62"/>
  <c r="J297" i="62"/>
  <c r="M296" i="62"/>
  <c r="L296" i="62"/>
  <c r="K296" i="62"/>
  <c r="J296" i="62"/>
  <c r="M295" i="62"/>
  <c r="L295" i="62"/>
  <c r="K295" i="62"/>
  <c r="J295" i="62"/>
  <c r="M294" i="62"/>
  <c r="L294" i="62"/>
  <c r="K294" i="62"/>
  <c r="J294" i="62"/>
  <c r="M293" i="62"/>
  <c r="L293" i="62"/>
  <c r="K293" i="62"/>
  <c r="J293" i="62"/>
  <c r="M292" i="62"/>
  <c r="L292" i="62"/>
  <c r="K292" i="62"/>
  <c r="J292" i="62"/>
  <c r="M291" i="62"/>
  <c r="L291" i="62"/>
  <c r="K291" i="62"/>
  <c r="J291" i="62"/>
  <c r="M290" i="62"/>
  <c r="L290" i="62"/>
  <c r="K290" i="62"/>
  <c r="J290" i="62"/>
  <c r="M289" i="62"/>
  <c r="L289" i="62"/>
  <c r="K289" i="62"/>
  <c r="J289" i="62"/>
  <c r="M288" i="62"/>
  <c r="L288" i="62"/>
  <c r="K288" i="62"/>
  <c r="J288" i="62"/>
  <c r="M287" i="62"/>
  <c r="L287" i="62"/>
  <c r="K287" i="62"/>
  <c r="J287" i="62"/>
  <c r="M286" i="62"/>
  <c r="L286" i="62"/>
  <c r="K286" i="62"/>
  <c r="J286" i="62"/>
  <c r="M285" i="62"/>
  <c r="L285" i="62"/>
  <c r="K285" i="62"/>
  <c r="J285" i="62"/>
  <c r="M284" i="62"/>
  <c r="L284" i="62"/>
  <c r="K284" i="62"/>
  <c r="J284" i="62"/>
  <c r="M283" i="62"/>
  <c r="L283" i="62"/>
  <c r="K283" i="62"/>
  <c r="J283" i="62"/>
  <c r="M282" i="62"/>
  <c r="L282" i="62"/>
  <c r="K282" i="62"/>
  <c r="J282" i="62"/>
  <c r="M281" i="62"/>
  <c r="L281" i="62"/>
  <c r="K281" i="62"/>
  <c r="J281" i="62"/>
  <c r="M280" i="62"/>
  <c r="L280" i="62"/>
  <c r="K280" i="62"/>
  <c r="J280" i="62"/>
  <c r="M279" i="62"/>
  <c r="L279" i="62"/>
  <c r="K279" i="62"/>
  <c r="J279" i="62"/>
  <c r="M278" i="62"/>
  <c r="L278" i="62"/>
  <c r="K278" i="62"/>
  <c r="J278" i="62"/>
  <c r="M277" i="62"/>
  <c r="L277" i="62"/>
  <c r="K277" i="62"/>
  <c r="J277" i="62"/>
  <c r="M276" i="62"/>
  <c r="L276" i="62"/>
  <c r="K276" i="62"/>
  <c r="J276" i="62"/>
  <c r="M275" i="62"/>
  <c r="L275" i="62"/>
  <c r="K275" i="62"/>
  <c r="J275" i="62"/>
  <c r="M274" i="62"/>
  <c r="L274" i="62"/>
  <c r="K274" i="62"/>
  <c r="J274" i="62"/>
  <c r="M273" i="62"/>
  <c r="L273" i="62"/>
  <c r="K273" i="62"/>
  <c r="J273" i="62"/>
  <c r="M272" i="62"/>
  <c r="L272" i="62"/>
  <c r="K272" i="62"/>
  <c r="J272" i="62"/>
  <c r="M271" i="62"/>
  <c r="L271" i="62"/>
  <c r="K271" i="62"/>
  <c r="J271" i="62"/>
  <c r="M270" i="62"/>
  <c r="L270" i="62"/>
  <c r="K270" i="62"/>
  <c r="J270" i="62"/>
  <c r="M269" i="62"/>
  <c r="L269" i="62"/>
  <c r="K269" i="62"/>
  <c r="J269" i="62"/>
  <c r="M268" i="62"/>
  <c r="L268" i="62"/>
  <c r="K268" i="62"/>
  <c r="J268" i="62"/>
  <c r="M267" i="62"/>
  <c r="L267" i="62"/>
  <c r="K267" i="62"/>
  <c r="J267" i="62"/>
  <c r="M266" i="62"/>
  <c r="L266" i="62"/>
  <c r="K266" i="62"/>
  <c r="J266" i="62"/>
  <c r="M265" i="62"/>
  <c r="L265" i="62"/>
  <c r="K265" i="62"/>
  <c r="J265" i="62"/>
  <c r="M264" i="62"/>
  <c r="L264" i="62"/>
  <c r="K264" i="62"/>
  <c r="J264" i="62"/>
  <c r="M263" i="62"/>
  <c r="L263" i="62"/>
  <c r="K263" i="62"/>
  <c r="J263" i="62"/>
  <c r="M262" i="62"/>
  <c r="L262" i="62"/>
  <c r="K262" i="62"/>
  <c r="J262" i="62"/>
  <c r="M261" i="62"/>
  <c r="L261" i="62"/>
  <c r="K261" i="62"/>
  <c r="J261" i="62"/>
  <c r="M260" i="62"/>
  <c r="L260" i="62"/>
  <c r="K260" i="62"/>
  <c r="J260" i="62"/>
  <c r="M259" i="62"/>
  <c r="L259" i="62"/>
  <c r="K259" i="62"/>
  <c r="J259" i="62"/>
  <c r="M258" i="62"/>
  <c r="L258" i="62"/>
  <c r="K258" i="62"/>
  <c r="J258" i="62"/>
  <c r="M257" i="62"/>
  <c r="L257" i="62"/>
  <c r="K257" i="62"/>
  <c r="J257" i="62"/>
  <c r="M256" i="62"/>
  <c r="L256" i="62"/>
  <c r="K256" i="62"/>
  <c r="J256" i="62"/>
  <c r="M255" i="62"/>
  <c r="L255" i="62"/>
  <c r="K255" i="62"/>
  <c r="J255" i="62"/>
  <c r="M254" i="62"/>
  <c r="L254" i="62"/>
  <c r="K254" i="62"/>
  <c r="J254" i="62"/>
  <c r="M253" i="62"/>
  <c r="L253" i="62"/>
  <c r="K253" i="62"/>
  <c r="J253" i="62"/>
  <c r="M252" i="62"/>
  <c r="L252" i="62"/>
  <c r="K252" i="62"/>
  <c r="J252" i="62"/>
  <c r="M251" i="62"/>
  <c r="L251" i="62"/>
  <c r="K251" i="62"/>
  <c r="J251" i="62"/>
  <c r="M250" i="62"/>
  <c r="L250" i="62"/>
  <c r="K250" i="62"/>
  <c r="J250" i="62"/>
  <c r="M249" i="62"/>
  <c r="L249" i="62"/>
  <c r="K249" i="62"/>
  <c r="J249" i="62"/>
  <c r="M248" i="62"/>
  <c r="L248" i="62"/>
  <c r="K248" i="62"/>
  <c r="J248" i="62"/>
  <c r="M247" i="62"/>
  <c r="L247" i="62"/>
  <c r="K247" i="62"/>
  <c r="J247" i="62"/>
  <c r="M246" i="62"/>
  <c r="L246" i="62"/>
  <c r="K246" i="62"/>
  <c r="J246" i="62"/>
  <c r="M245" i="62"/>
  <c r="L245" i="62"/>
  <c r="K245" i="62"/>
  <c r="J245" i="62"/>
  <c r="M244" i="62"/>
  <c r="L244" i="62"/>
  <c r="K244" i="62"/>
  <c r="J244" i="62"/>
  <c r="M243" i="62"/>
  <c r="L243" i="62"/>
  <c r="K243" i="62"/>
  <c r="J243" i="62"/>
  <c r="M242" i="62"/>
  <c r="L242" i="62"/>
  <c r="K242" i="62"/>
  <c r="J242" i="62"/>
  <c r="M241" i="62"/>
  <c r="L241" i="62"/>
  <c r="K241" i="62"/>
  <c r="J241" i="62"/>
  <c r="M240" i="62"/>
  <c r="L240" i="62"/>
  <c r="K240" i="62"/>
  <c r="J240" i="62"/>
  <c r="M239" i="62"/>
  <c r="L239" i="62"/>
  <c r="K239" i="62"/>
  <c r="J239" i="62"/>
  <c r="M238" i="62"/>
  <c r="L238" i="62"/>
  <c r="K238" i="62"/>
  <c r="J238" i="62"/>
  <c r="M237" i="62"/>
  <c r="L237" i="62"/>
  <c r="K237" i="62"/>
  <c r="J237" i="62"/>
  <c r="M236" i="62"/>
  <c r="L236" i="62"/>
  <c r="K236" i="62"/>
  <c r="J236" i="62"/>
  <c r="M235" i="62"/>
  <c r="L235" i="62"/>
  <c r="K235" i="62"/>
  <c r="J235" i="62"/>
  <c r="M234" i="62"/>
  <c r="L234" i="62"/>
  <c r="K234" i="62"/>
  <c r="J234" i="62"/>
  <c r="M233" i="62"/>
  <c r="L233" i="62"/>
  <c r="K233" i="62"/>
  <c r="J233" i="62"/>
  <c r="M232" i="62"/>
  <c r="L232" i="62"/>
  <c r="K232" i="62"/>
  <c r="J232" i="62"/>
  <c r="M231" i="62"/>
  <c r="L231" i="62"/>
  <c r="K231" i="62"/>
  <c r="J231" i="62"/>
  <c r="M230" i="62"/>
  <c r="L230" i="62"/>
  <c r="K230" i="62"/>
  <c r="J230" i="62"/>
  <c r="M229" i="62"/>
  <c r="L229" i="62"/>
  <c r="K229" i="62"/>
  <c r="J229" i="62"/>
  <c r="M228" i="62"/>
  <c r="L228" i="62"/>
  <c r="K228" i="62"/>
  <c r="J228" i="62"/>
  <c r="M227" i="62"/>
  <c r="L227" i="62"/>
  <c r="K227" i="62"/>
  <c r="J227" i="62"/>
  <c r="M226" i="62"/>
  <c r="L226" i="62"/>
  <c r="K226" i="62"/>
  <c r="J226" i="62"/>
  <c r="M225" i="62"/>
  <c r="L225" i="62"/>
  <c r="K225" i="62"/>
  <c r="J225" i="62"/>
  <c r="M224" i="62"/>
  <c r="L224" i="62"/>
  <c r="K224" i="62"/>
  <c r="J224" i="62"/>
  <c r="M223" i="62"/>
  <c r="L223" i="62"/>
  <c r="K223" i="62"/>
  <c r="J223" i="62"/>
  <c r="M222" i="62"/>
  <c r="L222" i="62"/>
  <c r="K222" i="62"/>
  <c r="J222" i="62"/>
  <c r="M221" i="62"/>
  <c r="L221" i="62"/>
  <c r="K221" i="62"/>
  <c r="J221" i="62"/>
  <c r="M220" i="62"/>
  <c r="L220" i="62"/>
  <c r="K220" i="62"/>
  <c r="J220" i="62"/>
  <c r="M219" i="62"/>
  <c r="L219" i="62"/>
  <c r="K219" i="62"/>
  <c r="J219" i="62"/>
  <c r="M218" i="62"/>
  <c r="L218" i="62"/>
  <c r="K218" i="62"/>
  <c r="J218" i="62"/>
  <c r="M217" i="62"/>
  <c r="L217" i="62"/>
  <c r="K217" i="62"/>
  <c r="J217" i="62"/>
  <c r="M216" i="62"/>
  <c r="L216" i="62"/>
  <c r="K216" i="62"/>
  <c r="J216" i="62"/>
  <c r="M215" i="62"/>
  <c r="L215" i="62"/>
  <c r="K215" i="62"/>
  <c r="J215" i="62"/>
  <c r="M214" i="62"/>
  <c r="L214" i="62"/>
  <c r="K214" i="62"/>
  <c r="J214" i="62"/>
  <c r="M213" i="62"/>
  <c r="L213" i="62"/>
  <c r="K213" i="62"/>
  <c r="J213" i="62"/>
  <c r="M212" i="62"/>
  <c r="L212" i="62"/>
  <c r="K212" i="62"/>
  <c r="J212" i="62"/>
  <c r="M211" i="62"/>
  <c r="L211" i="62"/>
  <c r="K211" i="62"/>
  <c r="J211" i="62"/>
  <c r="M210" i="62"/>
  <c r="L210" i="62"/>
  <c r="K210" i="62"/>
  <c r="J210" i="62"/>
  <c r="M209" i="62"/>
  <c r="L209" i="62"/>
  <c r="K209" i="62"/>
  <c r="J209" i="62"/>
  <c r="M208" i="62"/>
  <c r="L208" i="62"/>
  <c r="K208" i="62"/>
  <c r="J208" i="62"/>
  <c r="M207" i="62"/>
  <c r="L207" i="62"/>
  <c r="K207" i="62"/>
  <c r="J207" i="62"/>
  <c r="M206" i="62"/>
  <c r="L206" i="62"/>
  <c r="K206" i="62"/>
  <c r="J206" i="62"/>
  <c r="M205" i="62"/>
  <c r="L205" i="62"/>
  <c r="K205" i="62"/>
  <c r="J205" i="62"/>
  <c r="M204" i="62"/>
  <c r="L204" i="62"/>
  <c r="K204" i="62"/>
  <c r="J204" i="62"/>
  <c r="M203" i="62"/>
  <c r="L203" i="62"/>
  <c r="K203" i="62"/>
  <c r="J203" i="62"/>
  <c r="M202" i="62"/>
  <c r="L202" i="62"/>
  <c r="K202" i="62"/>
  <c r="J202" i="62"/>
  <c r="M201" i="62"/>
  <c r="L201" i="62"/>
  <c r="K201" i="62"/>
  <c r="J201" i="62"/>
  <c r="M200" i="62"/>
  <c r="L200" i="62"/>
  <c r="K200" i="62"/>
  <c r="J200" i="62"/>
  <c r="M199" i="62"/>
  <c r="L199" i="62"/>
  <c r="K199" i="62"/>
  <c r="J199" i="62"/>
  <c r="M198" i="62"/>
  <c r="L198" i="62"/>
  <c r="K198" i="62"/>
  <c r="J198" i="62"/>
  <c r="M197" i="62"/>
  <c r="L197" i="62"/>
  <c r="K197" i="62"/>
  <c r="J197" i="62"/>
  <c r="M196" i="62"/>
  <c r="L196" i="62"/>
  <c r="K196" i="62"/>
  <c r="J196" i="62"/>
  <c r="M195" i="62"/>
  <c r="L195" i="62"/>
  <c r="K195" i="62"/>
  <c r="J195" i="62"/>
  <c r="M194" i="62"/>
  <c r="L194" i="62"/>
  <c r="K194" i="62"/>
  <c r="J194" i="62"/>
  <c r="M193" i="62"/>
  <c r="L193" i="62"/>
  <c r="K193" i="62"/>
  <c r="J193" i="62"/>
  <c r="M192" i="62"/>
  <c r="L192" i="62"/>
  <c r="K192" i="62"/>
  <c r="J192" i="62"/>
  <c r="M191" i="62"/>
  <c r="L191" i="62"/>
  <c r="K191" i="62"/>
  <c r="J191" i="62"/>
  <c r="M190" i="62"/>
  <c r="L190" i="62"/>
  <c r="K190" i="62"/>
  <c r="J190" i="62"/>
  <c r="M189" i="62"/>
  <c r="L189" i="62"/>
  <c r="K189" i="62"/>
  <c r="J189" i="62"/>
  <c r="M188" i="62"/>
  <c r="L188" i="62"/>
  <c r="K188" i="62"/>
  <c r="J188" i="62"/>
  <c r="M187" i="62"/>
  <c r="L187" i="62"/>
  <c r="K187" i="62"/>
  <c r="J187" i="62"/>
  <c r="M186" i="62"/>
  <c r="L186" i="62"/>
  <c r="K186" i="62"/>
  <c r="J186" i="62"/>
  <c r="M185" i="62"/>
  <c r="L185" i="62"/>
  <c r="K185" i="62"/>
  <c r="J185" i="62"/>
  <c r="M184" i="62"/>
  <c r="L184" i="62"/>
  <c r="K184" i="62"/>
  <c r="J184" i="62"/>
  <c r="M183" i="62"/>
  <c r="L183" i="62"/>
  <c r="K183" i="62"/>
  <c r="J183" i="62"/>
  <c r="M182" i="62"/>
  <c r="L182" i="62"/>
  <c r="K182" i="62"/>
  <c r="J182" i="62"/>
  <c r="M181" i="62"/>
  <c r="L181" i="62"/>
  <c r="K181" i="62"/>
  <c r="J181" i="62"/>
  <c r="M180" i="62"/>
  <c r="L180" i="62"/>
  <c r="K180" i="62"/>
  <c r="J180" i="62"/>
  <c r="M179" i="62"/>
  <c r="L179" i="62"/>
  <c r="K179" i="62"/>
  <c r="J179" i="62"/>
  <c r="M178" i="62"/>
  <c r="L178" i="62"/>
  <c r="K178" i="62"/>
  <c r="J178" i="62"/>
  <c r="M177" i="62"/>
  <c r="L177" i="62"/>
  <c r="K177" i="62"/>
  <c r="J177" i="62"/>
  <c r="M176" i="62"/>
  <c r="L176" i="62"/>
  <c r="K176" i="62"/>
  <c r="J176" i="62"/>
  <c r="M175" i="62"/>
  <c r="L175" i="62"/>
  <c r="K175" i="62"/>
  <c r="J175" i="62"/>
  <c r="M174" i="62"/>
  <c r="L174" i="62"/>
  <c r="K174" i="62"/>
  <c r="J174" i="62"/>
  <c r="M173" i="62"/>
  <c r="L173" i="62"/>
  <c r="K173" i="62"/>
  <c r="J173" i="62"/>
  <c r="M172" i="62"/>
  <c r="L172" i="62"/>
  <c r="K172" i="62"/>
  <c r="J172" i="62"/>
  <c r="M171" i="62"/>
  <c r="L171" i="62"/>
  <c r="K171" i="62"/>
  <c r="J171" i="62"/>
  <c r="M170" i="62"/>
  <c r="L170" i="62"/>
  <c r="K170" i="62"/>
  <c r="J170" i="62"/>
  <c r="M169" i="62"/>
  <c r="L169" i="62"/>
  <c r="K169" i="62"/>
  <c r="J169" i="62"/>
  <c r="M168" i="62"/>
  <c r="L168" i="62"/>
  <c r="K168" i="62"/>
  <c r="J168" i="62"/>
  <c r="M167" i="62"/>
  <c r="L167" i="62"/>
  <c r="K167" i="62"/>
  <c r="J167" i="62"/>
  <c r="M166" i="62"/>
  <c r="L166" i="62"/>
  <c r="K166" i="62"/>
  <c r="J166" i="62"/>
  <c r="M165" i="62"/>
  <c r="L165" i="62"/>
  <c r="K165" i="62"/>
  <c r="J165" i="62"/>
  <c r="M164" i="62"/>
  <c r="L164" i="62"/>
  <c r="K164" i="62"/>
  <c r="J164" i="62"/>
  <c r="M163" i="62"/>
  <c r="L163" i="62"/>
  <c r="K163" i="62"/>
  <c r="J163" i="62"/>
  <c r="M162" i="62"/>
  <c r="L162" i="62"/>
  <c r="K162" i="62"/>
  <c r="J162" i="62"/>
  <c r="M161" i="62"/>
  <c r="L161" i="62"/>
  <c r="K161" i="62"/>
  <c r="J161" i="62"/>
  <c r="M160" i="62"/>
  <c r="L160" i="62"/>
  <c r="K160" i="62"/>
  <c r="J160" i="62"/>
  <c r="M159" i="62"/>
  <c r="L159" i="62"/>
  <c r="K159" i="62"/>
  <c r="J159" i="62"/>
  <c r="M158" i="62"/>
  <c r="L158" i="62"/>
  <c r="K158" i="62"/>
  <c r="J158" i="62"/>
  <c r="M157" i="62"/>
  <c r="L157" i="62"/>
  <c r="K157" i="62"/>
  <c r="J157" i="62"/>
  <c r="M156" i="62"/>
  <c r="L156" i="62"/>
  <c r="K156" i="62"/>
  <c r="J156" i="62"/>
  <c r="M155" i="62"/>
  <c r="L155" i="62"/>
  <c r="K155" i="62"/>
  <c r="J155" i="62"/>
  <c r="M154" i="62"/>
  <c r="L154" i="62"/>
  <c r="K154" i="62"/>
  <c r="J154" i="62"/>
  <c r="M153" i="62"/>
  <c r="L153" i="62"/>
  <c r="K153" i="62"/>
  <c r="J153" i="62"/>
  <c r="M152" i="62"/>
  <c r="L152" i="62"/>
  <c r="K152" i="62"/>
  <c r="J152" i="62"/>
  <c r="M151" i="62"/>
  <c r="L151" i="62"/>
  <c r="K151" i="62"/>
  <c r="J151" i="62"/>
  <c r="M150" i="62"/>
  <c r="L150" i="62"/>
  <c r="K150" i="62"/>
  <c r="J150" i="62"/>
  <c r="M149" i="62"/>
  <c r="L149" i="62"/>
  <c r="K149" i="62"/>
  <c r="J149" i="62"/>
  <c r="M148" i="62"/>
  <c r="L148" i="62"/>
  <c r="K148" i="62"/>
  <c r="J148" i="62"/>
  <c r="M147" i="62"/>
  <c r="L147" i="62"/>
  <c r="K147" i="62"/>
  <c r="J147" i="62"/>
  <c r="M146" i="62"/>
  <c r="L146" i="62"/>
  <c r="K146" i="62"/>
  <c r="J146" i="62"/>
  <c r="M145" i="62"/>
  <c r="L145" i="62"/>
  <c r="K145" i="62"/>
  <c r="J145" i="62"/>
  <c r="M144" i="62"/>
  <c r="L144" i="62"/>
  <c r="K144" i="62"/>
  <c r="J144" i="62"/>
  <c r="M143" i="62"/>
  <c r="L143" i="62"/>
  <c r="K143" i="62"/>
  <c r="J143" i="62"/>
  <c r="M142" i="62"/>
  <c r="L142" i="62"/>
  <c r="K142" i="62"/>
  <c r="J142" i="62"/>
  <c r="M141" i="62"/>
  <c r="L141" i="62"/>
  <c r="K141" i="62"/>
  <c r="J141" i="62"/>
  <c r="M140" i="62"/>
  <c r="L140" i="62"/>
  <c r="K140" i="62"/>
  <c r="J140" i="62"/>
  <c r="M139" i="62"/>
  <c r="L139" i="62"/>
  <c r="K139" i="62"/>
  <c r="J139" i="62"/>
  <c r="M138" i="62"/>
  <c r="L138" i="62"/>
  <c r="K138" i="62"/>
  <c r="J138" i="62"/>
  <c r="M137" i="62"/>
  <c r="L137" i="62"/>
  <c r="K137" i="62"/>
  <c r="J137" i="62"/>
  <c r="M136" i="62"/>
  <c r="L136" i="62"/>
  <c r="K136" i="62"/>
  <c r="J136" i="62"/>
  <c r="M135" i="62"/>
  <c r="L135" i="62"/>
  <c r="K135" i="62"/>
  <c r="J135" i="62"/>
  <c r="M134" i="62"/>
  <c r="L134" i="62"/>
  <c r="K134" i="62"/>
  <c r="J134" i="62"/>
  <c r="M133" i="62"/>
  <c r="L133" i="62"/>
  <c r="K133" i="62"/>
  <c r="J133" i="62"/>
  <c r="M132" i="62"/>
  <c r="L132" i="62"/>
  <c r="K132" i="62"/>
  <c r="J132" i="62"/>
  <c r="M131" i="62"/>
  <c r="L131" i="62"/>
  <c r="K131" i="62"/>
  <c r="J131" i="62"/>
  <c r="M130" i="62"/>
  <c r="L130" i="62"/>
  <c r="K130" i="62"/>
  <c r="J130" i="62"/>
  <c r="M129" i="62"/>
  <c r="L129" i="62"/>
  <c r="K129" i="62"/>
  <c r="J129" i="62"/>
  <c r="M128" i="62"/>
  <c r="L128" i="62"/>
  <c r="K128" i="62"/>
  <c r="J128" i="62"/>
  <c r="M127" i="62"/>
  <c r="L127" i="62"/>
  <c r="K127" i="62"/>
  <c r="J127" i="62"/>
  <c r="M126" i="62"/>
  <c r="L126" i="62"/>
  <c r="K126" i="62"/>
  <c r="J126" i="62"/>
  <c r="M125" i="62"/>
  <c r="L125" i="62"/>
  <c r="K125" i="62"/>
  <c r="J125" i="62"/>
  <c r="M124" i="62"/>
  <c r="L124" i="62"/>
  <c r="K124" i="62"/>
  <c r="J124" i="62"/>
  <c r="M123" i="62"/>
  <c r="L123" i="62"/>
  <c r="K123" i="62"/>
  <c r="J123" i="62"/>
  <c r="M122" i="62"/>
  <c r="L122" i="62"/>
  <c r="K122" i="62"/>
  <c r="J122" i="62"/>
  <c r="M121" i="62"/>
  <c r="L121" i="62"/>
  <c r="K121" i="62"/>
  <c r="J121" i="62"/>
  <c r="M120" i="62"/>
  <c r="L120" i="62"/>
  <c r="K120" i="62"/>
  <c r="J120" i="62"/>
  <c r="M119" i="62"/>
  <c r="L119" i="62"/>
  <c r="K119" i="62"/>
  <c r="J119" i="62"/>
  <c r="M118" i="62"/>
  <c r="L118" i="62"/>
  <c r="K118" i="62"/>
  <c r="J118" i="62"/>
  <c r="M117" i="62"/>
  <c r="L117" i="62"/>
  <c r="K117" i="62"/>
  <c r="J117" i="62"/>
  <c r="M116" i="62"/>
  <c r="L116" i="62"/>
  <c r="K116" i="62"/>
  <c r="J116" i="62"/>
  <c r="M115" i="62"/>
  <c r="L115" i="62"/>
  <c r="K115" i="62"/>
  <c r="J115" i="62"/>
  <c r="M114" i="62"/>
  <c r="L114" i="62"/>
  <c r="K114" i="62"/>
  <c r="J114" i="62"/>
  <c r="M113" i="62"/>
  <c r="L113" i="62"/>
  <c r="K113" i="62"/>
  <c r="J113" i="62"/>
  <c r="M112" i="62"/>
  <c r="L112" i="62"/>
  <c r="K112" i="62"/>
  <c r="J112" i="62"/>
  <c r="M111" i="62"/>
  <c r="L111" i="62"/>
  <c r="K111" i="62"/>
  <c r="J111" i="62"/>
  <c r="M110" i="62"/>
  <c r="L110" i="62"/>
  <c r="K110" i="62"/>
  <c r="J110" i="62"/>
  <c r="M109" i="62"/>
  <c r="L109" i="62"/>
  <c r="K109" i="62"/>
  <c r="J109" i="62"/>
  <c r="M108" i="62"/>
  <c r="L108" i="62"/>
  <c r="K108" i="62"/>
  <c r="J108" i="62"/>
  <c r="M107" i="62"/>
  <c r="L107" i="62"/>
  <c r="K107" i="62"/>
  <c r="J107" i="62"/>
  <c r="M106" i="62"/>
  <c r="L106" i="62"/>
  <c r="K106" i="62"/>
  <c r="J106" i="62"/>
  <c r="M105" i="62"/>
  <c r="L105" i="62"/>
  <c r="K105" i="62"/>
  <c r="J105" i="62"/>
  <c r="M104" i="62"/>
  <c r="L104" i="62"/>
  <c r="K104" i="62"/>
  <c r="J104" i="62"/>
  <c r="M103" i="62"/>
  <c r="L103" i="62"/>
  <c r="K103" i="62"/>
  <c r="J103" i="62"/>
  <c r="M102" i="62"/>
  <c r="L102" i="62"/>
  <c r="K102" i="62"/>
  <c r="J102" i="62"/>
  <c r="M101" i="62"/>
  <c r="L101" i="62"/>
  <c r="K101" i="62"/>
  <c r="J101" i="62"/>
  <c r="M100" i="62"/>
  <c r="L100" i="62"/>
  <c r="K100" i="62"/>
  <c r="J100" i="62"/>
  <c r="M99" i="62"/>
  <c r="L99" i="62"/>
  <c r="K99" i="62"/>
  <c r="J99" i="62"/>
  <c r="M98" i="62"/>
  <c r="L98" i="62"/>
  <c r="K98" i="62"/>
  <c r="J98" i="62"/>
  <c r="M97" i="62"/>
  <c r="L97" i="62"/>
  <c r="K97" i="62"/>
  <c r="J97" i="62"/>
  <c r="M96" i="62"/>
  <c r="L96" i="62"/>
  <c r="K96" i="62"/>
  <c r="J96" i="62"/>
  <c r="M95" i="62"/>
  <c r="L95" i="62"/>
  <c r="K95" i="62"/>
  <c r="J95" i="62"/>
  <c r="M94" i="62"/>
  <c r="L94" i="62"/>
  <c r="K94" i="62"/>
  <c r="J94" i="62"/>
  <c r="M93" i="62"/>
  <c r="L93" i="62"/>
  <c r="K93" i="62"/>
  <c r="J93" i="62"/>
  <c r="M92" i="62"/>
  <c r="L92" i="62"/>
  <c r="K92" i="62"/>
  <c r="J92" i="62"/>
  <c r="M91" i="62"/>
  <c r="L91" i="62"/>
  <c r="K91" i="62"/>
  <c r="J91" i="62"/>
  <c r="M90" i="62"/>
  <c r="L90" i="62"/>
  <c r="K90" i="62"/>
  <c r="J90" i="62"/>
  <c r="M89" i="62"/>
  <c r="L89" i="62"/>
  <c r="K89" i="62"/>
  <c r="J89" i="62"/>
  <c r="M88" i="62"/>
  <c r="L88" i="62"/>
  <c r="K88" i="62"/>
  <c r="J88" i="62"/>
  <c r="M87" i="62"/>
  <c r="L87" i="62"/>
  <c r="K87" i="62"/>
  <c r="J87" i="62"/>
  <c r="M86" i="62"/>
  <c r="L86" i="62"/>
  <c r="K86" i="62"/>
  <c r="J86" i="62"/>
  <c r="M85" i="62"/>
  <c r="L85" i="62"/>
  <c r="K85" i="62"/>
  <c r="J85" i="62"/>
  <c r="M84" i="62"/>
  <c r="L84" i="62"/>
  <c r="K84" i="62"/>
  <c r="J84" i="62"/>
  <c r="M83" i="62"/>
  <c r="L83" i="62"/>
  <c r="K83" i="62"/>
  <c r="J83" i="62"/>
  <c r="M82" i="62"/>
  <c r="L82" i="62"/>
  <c r="K82" i="62"/>
  <c r="J82" i="62"/>
  <c r="M81" i="62"/>
  <c r="L81" i="62"/>
  <c r="K81" i="62"/>
  <c r="J81" i="62"/>
  <c r="M80" i="62"/>
  <c r="L80" i="62"/>
  <c r="K80" i="62"/>
  <c r="J80" i="62"/>
  <c r="M79" i="62"/>
  <c r="L79" i="62"/>
  <c r="K79" i="62"/>
  <c r="J79" i="62"/>
  <c r="M78" i="62"/>
  <c r="L78" i="62"/>
  <c r="K78" i="62"/>
  <c r="J78" i="62"/>
  <c r="M77" i="62"/>
  <c r="L77" i="62"/>
  <c r="K77" i="62"/>
  <c r="J77" i="62"/>
  <c r="M76" i="62"/>
  <c r="L76" i="62"/>
  <c r="K76" i="62"/>
  <c r="J76" i="62"/>
  <c r="M75" i="62"/>
  <c r="L75" i="62"/>
  <c r="K75" i="62"/>
  <c r="J75" i="62"/>
  <c r="M74" i="62"/>
  <c r="L74" i="62"/>
  <c r="K74" i="62"/>
  <c r="J74" i="62"/>
  <c r="M73" i="62"/>
  <c r="L73" i="62"/>
  <c r="K73" i="62"/>
  <c r="J73" i="62"/>
  <c r="M72" i="62"/>
  <c r="L72" i="62"/>
  <c r="K72" i="62"/>
  <c r="J72" i="62"/>
  <c r="M71" i="62"/>
  <c r="L71" i="62"/>
  <c r="K71" i="62"/>
  <c r="J71" i="62"/>
  <c r="M70" i="62"/>
  <c r="L70" i="62"/>
  <c r="K70" i="62"/>
  <c r="J70" i="62"/>
  <c r="M69" i="62"/>
  <c r="L69" i="62"/>
  <c r="K69" i="62"/>
  <c r="J69" i="62"/>
  <c r="M68" i="62"/>
  <c r="L68" i="62"/>
  <c r="K68" i="62"/>
  <c r="J68" i="62"/>
  <c r="M67" i="62"/>
  <c r="L67" i="62"/>
  <c r="K67" i="62"/>
  <c r="J67" i="62"/>
  <c r="M66" i="62"/>
  <c r="L66" i="62"/>
  <c r="K66" i="62"/>
  <c r="J66" i="62"/>
  <c r="M65" i="62"/>
  <c r="L65" i="62"/>
  <c r="K65" i="62"/>
  <c r="J65" i="62"/>
  <c r="M64" i="62"/>
  <c r="L64" i="62"/>
  <c r="K64" i="62"/>
  <c r="J64" i="62"/>
  <c r="M63" i="62"/>
  <c r="L63" i="62"/>
  <c r="K63" i="62"/>
  <c r="J63" i="62"/>
  <c r="M62" i="62"/>
  <c r="L62" i="62"/>
  <c r="K62" i="62"/>
  <c r="J62" i="62"/>
  <c r="M61" i="62"/>
  <c r="L61" i="62"/>
  <c r="K61" i="62"/>
  <c r="J61" i="62"/>
  <c r="M60" i="62"/>
  <c r="L60" i="62"/>
  <c r="K60" i="62"/>
  <c r="J60" i="62"/>
  <c r="M59" i="62"/>
  <c r="L59" i="62"/>
  <c r="K59" i="62"/>
  <c r="J59" i="62"/>
  <c r="M58" i="62"/>
  <c r="L58" i="62"/>
  <c r="K58" i="62"/>
  <c r="J58" i="62"/>
  <c r="M57" i="62"/>
  <c r="L57" i="62"/>
  <c r="K57" i="62"/>
  <c r="J57" i="62"/>
  <c r="M56" i="62"/>
  <c r="L56" i="62"/>
  <c r="K56" i="62"/>
  <c r="J56" i="62"/>
  <c r="M55" i="62"/>
  <c r="L55" i="62"/>
  <c r="K55" i="62"/>
  <c r="J55" i="62"/>
  <c r="M54" i="62"/>
  <c r="L54" i="62"/>
  <c r="K54" i="62"/>
  <c r="J54" i="62"/>
  <c r="M53" i="62"/>
  <c r="L53" i="62"/>
  <c r="K53" i="62"/>
  <c r="J53" i="62"/>
  <c r="M52" i="62"/>
  <c r="L52" i="62"/>
  <c r="K52" i="62"/>
  <c r="J52" i="62"/>
  <c r="M51" i="62"/>
  <c r="L51" i="62"/>
  <c r="K51" i="62"/>
  <c r="J51" i="62"/>
  <c r="M50" i="62"/>
  <c r="L50" i="62"/>
  <c r="K50" i="62"/>
  <c r="J50" i="62"/>
  <c r="M49" i="62"/>
  <c r="L49" i="62"/>
  <c r="K49" i="62"/>
  <c r="J49" i="62"/>
  <c r="M48" i="62"/>
  <c r="L48" i="62"/>
  <c r="K48" i="62"/>
  <c r="J48" i="62"/>
  <c r="M47" i="62"/>
  <c r="L47" i="62"/>
  <c r="K47" i="62"/>
  <c r="J47" i="62"/>
  <c r="M46" i="62"/>
  <c r="L46" i="62"/>
  <c r="K46" i="62"/>
  <c r="J46" i="62"/>
  <c r="M45" i="62"/>
  <c r="L45" i="62"/>
  <c r="K45" i="62"/>
  <c r="J45" i="62"/>
  <c r="M44" i="62"/>
  <c r="L44" i="62"/>
  <c r="K44" i="62"/>
  <c r="J44" i="62"/>
  <c r="M43" i="62"/>
  <c r="L43" i="62"/>
  <c r="K43" i="62"/>
  <c r="J43" i="62"/>
  <c r="M42" i="62"/>
  <c r="L42" i="62"/>
  <c r="K42" i="62"/>
  <c r="J42" i="62"/>
  <c r="M41" i="62"/>
  <c r="L41" i="62"/>
  <c r="K41" i="62"/>
  <c r="J41" i="62"/>
  <c r="M40" i="62"/>
  <c r="L40" i="62"/>
  <c r="K40" i="62"/>
  <c r="J40" i="62"/>
  <c r="M39" i="62"/>
  <c r="L39" i="62"/>
  <c r="K39" i="62"/>
  <c r="J39" i="62"/>
  <c r="M38" i="62"/>
  <c r="L38" i="62"/>
  <c r="K38" i="62"/>
  <c r="J38" i="62"/>
  <c r="M37" i="62"/>
  <c r="L37" i="62"/>
  <c r="K37" i="62"/>
  <c r="J37" i="62"/>
  <c r="M36" i="62"/>
  <c r="L36" i="62"/>
  <c r="K36" i="62"/>
  <c r="J36" i="62"/>
  <c r="M35" i="62"/>
  <c r="L35" i="62"/>
  <c r="K35" i="62"/>
  <c r="J35" i="62"/>
  <c r="M34" i="62"/>
  <c r="L34" i="62"/>
  <c r="K34" i="62"/>
  <c r="J34" i="62"/>
  <c r="M29" i="62"/>
  <c r="L29" i="62"/>
  <c r="K29" i="62"/>
  <c r="J29" i="62"/>
  <c r="M28" i="62"/>
  <c r="L28" i="62"/>
  <c r="K28" i="62"/>
  <c r="J28" i="62"/>
  <c r="M27" i="62"/>
  <c r="L27" i="62"/>
  <c r="K27" i="62"/>
  <c r="J27" i="62"/>
  <c r="M26" i="62"/>
  <c r="L26" i="62"/>
  <c r="K26" i="62"/>
  <c r="J26" i="62"/>
  <c r="M25" i="62"/>
  <c r="L25" i="62"/>
  <c r="K25" i="62"/>
  <c r="J25" i="62"/>
  <c r="M24" i="62"/>
  <c r="L24" i="62"/>
  <c r="K24" i="62"/>
  <c r="J24" i="62"/>
  <c r="M23" i="62"/>
  <c r="L23" i="62"/>
  <c r="K23" i="62"/>
  <c r="J23" i="62"/>
  <c r="M22" i="62"/>
  <c r="L22" i="62"/>
  <c r="K22" i="62"/>
  <c r="J22" i="62"/>
  <c r="M21" i="62"/>
  <c r="L21" i="62"/>
  <c r="K21" i="62"/>
  <c r="J21" i="62"/>
  <c r="M20" i="62"/>
  <c r="L20" i="62"/>
  <c r="K20" i="62"/>
  <c r="J20" i="62"/>
  <c r="M19" i="62"/>
  <c r="L19" i="62"/>
  <c r="K19" i="62"/>
  <c r="J19" i="62"/>
  <c r="M18" i="62"/>
  <c r="L18" i="62"/>
  <c r="K18" i="62"/>
  <c r="J18" i="62"/>
  <c r="M17" i="62"/>
  <c r="L17" i="62"/>
  <c r="K17" i="62"/>
  <c r="J17" i="62"/>
  <c r="M16" i="62"/>
  <c r="L16" i="62"/>
  <c r="K16" i="62"/>
  <c r="J16" i="62"/>
  <c r="M15" i="62"/>
  <c r="L15" i="62"/>
  <c r="K15" i="62"/>
  <c r="J15" i="62"/>
  <c r="M14" i="62"/>
  <c r="L14" i="62"/>
  <c r="K14" i="62"/>
  <c r="J14" i="62"/>
  <c r="M13" i="62"/>
  <c r="L13" i="62"/>
  <c r="K13" i="62"/>
  <c r="J13" i="62"/>
  <c r="M12" i="62"/>
  <c r="L12" i="62"/>
  <c r="K12" i="62"/>
  <c r="J12" i="62"/>
  <c r="M11" i="62"/>
  <c r="L11" i="62"/>
  <c r="K11" i="62"/>
  <c r="J11" i="62"/>
  <c r="M10" i="62"/>
  <c r="L10" i="62"/>
  <c r="K10" i="62"/>
  <c r="J10" i="62"/>
  <c r="M9" i="62"/>
  <c r="L9" i="62"/>
  <c r="K9" i="62"/>
  <c r="J9" i="62"/>
  <c r="M8" i="62"/>
  <c r="L8" i="62"/>
  <c r="K8" i="62"/>
  <c r="J8" i="62"/>
  <c r="M7" i="62"/>
  <c r="L7" i="62"/>
  <c r="K7" i="62"/>
  <c r="J7" i="62"/>
  <c r="M6" i="62"/>
  <c r="L6" i="62"/>
  <c r="K6" i="62"/>
  <c r="J6" i="62"/>
  <c r="M5" i="62"/>
  <c r="L5" i="62"/>
  <c r="K5" i="62"/>
  <c r="J5" i="62"/>
  <c r="M4" i="62"/>
  <c r="L4" i="62"/>
  <c r="K4" i="62"/>
  <c r="J4" i="62"/>
  <c r="M3" i="62"/>
  <c r="L3" i="62"/>
  <c r="K3" i="62"/>
  <c r="J3" i="62"/>
  <c r="M182" i="63"/>
  <c r="D144" i="49" s="1"/>
  <c r="M93" i="63"/>
  <c r="M184" i="63" s="1"/>
  <c r="U35" i="44"/>
  <c r="S36" i="44"/>
  <c r="U36" i="44"/>
  <c r="R37" i="44"/>
  <c r="S37" i="44"/>
  <c r="S41" i="44" s="1"/>
  <c r="U37" i="44"/>
  <c r="U41" i="44" s="1"/>
  <c r="U43" i="44" s="1"/>
  <c r="S38" i="44"/>
  <c r="U38" i="44"/>
  <c r="R41" i="44"/>
  <c r="U42" i="44"/>
  <c r="R43" i="44"/>
  <c r="T48" i="65" l="1"/>
  <c r="R50" i="66"/>
  <c r="D325" i="49" s="1"/>
  <c r="D527" i="49"/>
  <c r="D536" i="49"/>
  <c r="D530" i="49"/>
  <c r="D540" i="49"/>
  <c r="D525" i="49"/>
  <c r="M30" i="62"/>
  <c r="M967" i="62" s="1"/>
  <c r="M965" i="62"/>
  <c r="E230" i="19" l="1"/>
  <c r="D145" i="49"/>
  <c r="D189" i="49" l="1"/>
  <c r="F99" i="60" l="1"/>
  <c r="D57" i="49"/>
  <c r="D65" i="49" s="1"/>
  <c r="D47" i="49"/>
  <c r="D14" i="49"/>
  <c r="D21" i="49"/>
  <c r="D35" i="49"/>
  <c r="D73" i="49"/>
  <c r="D127" i="49"/>
  <c r="D134" i="49"/>
  <c r="D138" i="49"/>
  <c r="D139" i="49"/>
  <c r="D151" i="49"/>
  <c r="D161" i="49"/>
  <c r="D178" i="49"/>
  <c r="G13" i="60" l="1"/>
  <c r="G25" i="60"/>
  <c r="I42" i="55"/>
  <c r="I41" i="55"/>
  <c r="I35" i="55"/>
  <c r="J41" i="55"/>
  <c r="J35" i="55"/>
  <c r="I43" i="55" l="1"/>
  <c r="B167" i="19" l="1"/>
  <c r="G43" i="19" l="1"/>
  <c r="E61" i="19" l="1"/>
  <c r="D447" i="49" l="1"/>
  <c r="D450" i="49" l="1"/>
  <c r="F90" i="60" l="1"/>
  <c r="G93" i="60" l="1"/>
  <c r="H89" i="60"/>
  <c r="L74" i="25" l="1"/>
  <c r="J72" i="25"/>
  <c r="F68" i="25" l="1"/>
  <c r="J68" i="25" s="1"/>
  <c r="J65" i="25" l="1"/>
  <c r="K70" i="25"/>
  <c r="M70" i="25"/>
  <c r="E52" i="19" l="1"/>
  <c r="E50" i="19"/>
  <c r="E23" i="19" l="1"/>
  <c r="E213" i="19" s="1"/>
  <c r="E30" i="50" l="1"/>
  <c r="E83" i="44" l="1"/>
  <c r="D83" i="44"/>
  <c r="C83" i="44"/>
  <c r="F67" i="44"/>
  <c r="F66" i="44"/>
  <c r="K52" i="44"/>
  <c r="J52" i="44"/>
  <c r="I52" i="44"/>
  <c r="H52" i="44"/>
  <c r="G52" i="44"/>
  <c r="F52" i="44"/>
  <c r="E52" i="44"/>
  <c r="D52" i="44"/>
  <c r="C52" i="44"/>
  <c r="L49" i="44"/>
  <c r="L48" i="44"/>
  <c r="L47" i="44"/>
  <c r="C30" i="44"/>
  <c r="L27" i="44"/>
  <c r="L28" i="44"/>
  <c r="L29" i="44"/>
  <c r="L35" i="44"/>
  <c r="L34" i="44"/>
  <c r="H28" i="50"/>
  <c r="D26" i="50"/>
  <c r="D30" i="50" s="1"/>
  <c r="G25" i="50"/>
  <c r="H25" i="50" s="1"/>
  <c r="F26" i="50"/>
  <c r="F30" i="50" s="1"/>
  <c r="D549" i="49"/>
  <c r="D557" i="49" s="1"/>
  <c r="D516" i="49"/>
  <c r="E103" i="19" s="1"/>
  <c r="D502" i="49"/>
  <c r="D508" i="49" s="1"/>
  <c r="E102" i="19" s="1"/>
  <c r="D493" i="49"/>
  <c r="E101" i="19" s="1"/>
  <c r="D479" i="49"/>
  <c r="E100" i="19" s="1"/>
  <c r="D472" i="49"/>
  <c r="D473" i="49" s="1"/>
  <c r="E99" i="19" s="1"/>
  <c r="D466" i="49"/>
  <c r="D456" i="49"/>
  <c r="D442" i="49"/>
  <c r="D435" i="49"/>
  <c r="D417" i="49"/>
  <c r="D429" i="49" s="1"/>
  <c r="E91" i="19" s="1"/>
  <c r="I5" i="55" s="1"/>
  <c r="D402" i="49"/>
  <c r="D393" i="49"/>
  <c r="D387" i="49"/>
  <c r="D379" i="49"/>
  <c r="D375" i="49"/>
  <c r="D370" i="49"/>
  <c r="D445" i="49" s="1"/>
  <c r="D460" i="49" s="1"/>
  <c r="D352" i="49"/>
  <c r="D342" i="49"/>
  <c r="E51" i="19" s="1"/>
  <c r="D329" i="49"/>
  <c r="E60" i="19" s="1"/>
  <c r="D297" i="49"/>
  <c r="E59" i="19" s="1"/>
  <c r="E204" i="19" s="1"/>
  <c r="D288" i="49"/>
  <c r="E49" i="19" s="1"/>
  <c r="D255" i="49"/>
  <c r="E58" i="19" s="1"/>
  <c r="D236" i="49"/>
  <c r="E48" i="19" s="1"/>
  <c r="E249" i="19" s="1"/>
  <c r="D213" i="49"/>
  <c r="E36" i="19" s="1"/>
  <c r="E63" i="19"/>
  <c r="E30" i="19"/>
  <c r="I36" i="55" s="1"/>
  <c r="I37" i="55" s="1"/>
  <c r="E20" i="19"/>
  <c r="D409" i="49" l="1"/>
  <c r="D432" i="49" s="1"/>
  <c r="D439" i="49" s="1"/>
  <c r="I4" i="55"/>
  <c r="I30" i="55"/>
  <c r="D301" i="49"/>
  <c r="E206" i="19"/>
  <c r="E105" i="19"/>
  <c r="E92" i="19"/>
  <c r="E33" i="19"/>
  <c r="E22" i="19"/>
  <c r="D457" i="49"/>
  <c r="E97" i="19" s="1"/>
  <c r="I40" i="55" s="1"/>
  <c r="I44" i="55" s="1"/>
  <c r="E202" i="19"/>
  <c r="D388" i="49"/>
  <c r="E90" i="19" s="1"/>
  <c r="E106" i="19"/>
  <c r="E93" i="19"/>
  <c r="D519" i="49"/>
  <c r="D547" i="49" s="1"/>
  <c r="D560" i="49" s="1"/>
  <c r="E200" i="19"/>
  <c r="D483" i="49"/>
  <c r="D496" i="49" s="1"/>
  <c r="D512" i="49" s="1"/>
  <c r="D477" i="49"/>
  <c r="E21" i="19"/>
  <c r="D206" i="49"/>
  <c r="E34" i="19" s="1"/>
  <c r="E203" i="19" s="1"/>
  <c r="D544" i="49"/>
  <c r="E107" i="19" s="1"/>
  <c r="G26" i="50"/>
  <c r="G30" i="50" s="1"/>
  <c r="H24" i="50"/>
  <c r="H26" i="50" s="1"/>
  <c r="E29" i="19"/>
  <c r="E19" i="19"/>
  <c r="E94" i="19" l="1"/>
  <c r="I7" i="55"/>
  <c r="I13" i="55" s="1"/>
  <c r="I34" i="55"/>
  <c r="I38" i="55" s="1"/>
  <c r="E211" i="19"/>
  <c r="E108" i="19"/>
  <c r="E109" i="19" s="1"/>
  <c r="F66" i="25"/>
  <c r="F62" i="25"/>
  <c r="F58" i="25"/>
  <c r="F75" i="25" s="1"/>
  <c r="D34" i="25"/>
  <c r="D23" i="25"/>
  <c r="D26" i="25" s="1"/>
  <c r="D19" i="25"/>
  <c r="D14" i="25"/>
  <c r="E13" i="25"/>
  <c r="E14" i="25" s="1"/>
  <c r="E41" i="19" s="1"/>
  <c r="E11" i="25"/>
  <c r="E9" i="25"/>
  <c r="D10" i="50"/>
  <c r="E238" i="19"/>
  <c r="E175" i="19"/>
  <c r="B85" i="19"/>
  <c r="B172" i="19" s="1"/>
  <c r="E55" i="19"/>
  <c r="I48" i="55" s="1"/>
  <c r="D7" i="49" l="1"/>
  <c r="D23" i="49" s="1"/>
  <c r="D49" i="49" s="1"/>
  <c r="D116" i="49" s="1"/>
  <c r="D142" i="49" s="1"/>
  <c r="D154" i="49" s="1"/>
  <c r="D175" i="49" s="1"/>
  <c r="D184" i="49" s="1"/>
  <c r="E112" i="19"/>
  <c r="E114" i="19" s="1"/>
  <c r="E177" i="19" s="1"/>
  <c r="E198" i="19" s="1"/>
  <c r="I29" i="55"/>
  <c r="I31" i="55" s="1"/>
  <c r="I3" i="55"/>
  <c r="I6" i="55" s="1"/>
  <c r="I8" i="55" s="1"/>
  <c r="E23" i="25"/>
  <c r="E26" i="25" s="1"/>
  <c r="D209" i="49" l="1"/>
  <c r="D217" i="49" s="1"/>
  <c r="D279" i="49" s="1"/>
  <c r="D300" i="49" s="1"/>
  <c r="D309" i="49" s="1"/>
  <c r="D332" i="49" s="1"/>
  <c r="D354" i="49" s="1"/>
  <c r="D193" i="49"/>
  <c r="F13" i="42"/>
  <c r="H48" i="53" l="1"/>
  <c r="H46" i="53"/>
  <c r="E256" i="19" l="1"/>
  <c r="J42" i="55" l="1"/>
  <c r="J48" i="55"/>
  <c r="J36" i="55"/>
  <c r="J5" i="55"/>
  <c r="F23" i="25"/>
  <c r="F26" i="25" s="1"/>
  <c r="F14" i="25"/>
  <c r="G13" i="25"/>
  <c r="G23" i="25" s="1"/>
  <c r="G26" i="25" s="1"/>
  <c r="G11" i="25"/>
  <c r="G9" i="25"/>
  <c r="G14" i="25" l="1"/>
  <c r="D9" i="50" s="1"/>
  <c r="J4" i="55"/>
  <c r="J30" i="55"/>
  <c r="J34" i="55" l="1"/>
  <c r="J7" i="55"/>
  <c r="J13" i="55" s="1"/>
  <c r="J40" i="55"/>
  <c r="J29" i="55" l="1"/>
  <c r="J31" i="55" s="1"/>
  <c r="J3" i="55" l="1"/>
  <c r="J6" i="55" s="1"/>
  <c r="J8" i="55" s="1"/>
  <c r="H17" i="53" l="1"/>
  <c r="H22" i="53" l="1"/>
  <c r="H24" i="53" s="1"/>
  <c r="H26" i="53" s="1"/>
  <c r="H28" i="53" s="1"/>
  <c r="H29" i="53" s="1"/>
  <c r="H31" i="53" s="1"/>
  <c r="H32" i="53" s="1"/>
  <c r="H34" i="53"/>
  <c r="H36" i="53" s="1"/>
  <c r="H38" i="53" s="1"/>
  <c r="H40" i="53" s="1"/>
  <c r="H41" i="53" s="1"/>
  <c r="E39" i="50"/>
  <c r="B160" i="50"/>
  <c r="B107" i="50" s="1"/>
  <c r="B157" i="50"/>
  <c r="B104" i="50" s="1"/>
  <c r="B156" i="50"/>
  <c r="B103" i="50" s="1"/>
  <c r="B155" i="50"/>
  <c r="B102" i="50" s="1"/>
  <c r="B150" i="50"/>
  <c r="B97" i="50" s="1"/>
  <c r="H144" i="50"/>
  <c r="G142" i="50"/>
  <c r="D142" i="50"/>
  <c r="H141" i="50"/>
  <c r="F140" i="50"/>
  <c r="F142" i="50" s="1"/>
  <c r="G133" i="50"/>
  <c r="G137" i="50" s="1"/>
  <c r="D133" i="50"/>
  <c r="H132" i="50"/>
  <c r="F131" i="50"/>
  <c r="H131" i="50" s="1"/>
  <c r="F128" i="50"/>
  <c r="D128" i="50"/>
  <c r="D120" i="50"/>
  <c r="D65" i="50" s="1"/>
  <c r="D118" i="50"/>
  <c r="D117" i="50"/>
  <c r="H91" i="50"/>
  <c r="D89" i="50"/>
  <c r="G88" i="50"/>
  <c r="H88" i="50" s="1"/>
  <c r="F87" i="50"/>
  <c r="H87" i="50" s="1"/>
  <c r="G80" i="50"/>
  <c r="D80" i="50"/>
  <c r="F79" i="50"/>
  <c r="H79" i="50" s="1"/>
  <c r="F78" i="50"/>
  <c r="G75" i="50"/>
  <c r="F75" i="50"/>
  <c r="D75" i="50"/>
  <c r="D67" i="50"/>
  <c r="D64" i="50"/>
  <c r="H37" i="50"/>
  <c r="D35" i="50"/>
  <c r="G34" i="50"/>
  <c r="G35" i="50" s="1"/>
  <c r="D11" i="50"/>
  <c r="D13" i="50" s="1"/>
  <c r="D15" i="50" s="1"/>
  <c r="H43" i="53" l="1"/>
  <c r="H47" i="53" s="1"/>
  <c r="H52" i="53" s="1"/>
  <c r="H54" i="53" s="1"/>
  <c r="G84" i="50"/>
  <c r="F80" i="50"/>
  <c r="F84" i="50" s="1"/>
  <c r="H75" i="50"/>
  <c r="H78" i="50"/>
  <c r="H80" i="50" s="1"/>
  <c r="D119" i="50"/>
  <c r="D121" i="50" s="1"/>
  <c r="D66" i="50"/>
  <c r="D68" i="50" s="1"/>
  <c r="G146" i="50"/>
  <c r="H133" i="50"/>
  <c r="F89" i="50"/>
  <c r="H34" i="50"/>
  <c r="D84" i="50"/>
  <c r="D93" i="50" s="1"/>
  <c r="H140" i="50"/>
  <c r="H142" i="50" s="1"/>
  <c r="H128" i="50"/>
  <c r="D137" i="50"/>
  <c r="D146" i="50" s="1"/>
  <c r="G39" i="50"/>
  <c r="H89" i="50"/>
  <c r="G89" i="50"/>
  <c r="F133" i="50"/>
  <c r="F137" i="50" s="1"/>
  <c r="F146" i="50" s="1"/>
  <c r="B164" i="19"/>
  <c r="B277" i="19" s="1"/>
  <c r="F147" i="50" l="1"/>
  <c r="H84" i="50"/>
  <c r="H93" i="50" s="1"/>
  <c r="G93" i="50"/>
  <c r="D147" i="50"/>
  <c r="G147" i="50"/>
  <c r="H137" i="50"/>
  <c r="H146" i="50" s="1"/>
  <c r="F93" i="50"/>
  <c r="H147" i="50" l="1"/>
  <c r="D187" i="49"/>
  <c r="D190" i="49" s="1"/>
  <c r="J24" i="55"/>
  <c r="E259" i="19"/>
  <c r="C3" i="42"/>
  <c r="D34" i="36"/>
  <c r="E31" i="19" l="1"/>
  <c r="E35" i="19" s="1"/>
  <c r="I24" i="55" s="1"/>
  <c r="E263" i="19"/>
  <c r="E265" i="19" s="1"/>
  <c r="C409" i="49"/>
  <c r="B4" i="49"/>
  <c r="B2" i="44" l="1"/>
  <c r="B2" i="25" s="1"/>
  <c r="B84" i="19"/>
  <c r="B171" i="19" s="1"/>
  <c r="B83" i="19"/>
  <c r="B170" i="19" s="1"/>
  <c r="C560" i="49"/>
  <c r="C519" i="49"/>
  <c r="C439" i="49"/>
  <c r="B189" i="49"/>
  <c r="C184" i="49"/>
  <c r="B266" i="19"/>
  <c r="D167" i="19"/>
  <c r="D280" i="19" s="1"/>
  <c r="D166" i="19"/>
  <c r="D279" i="19" s="1"/>
  <c r="D165" i="19"/>
  <c r="D278" i="19" s="1"/>
  <c r="D161" i="19"/>
  <c r="D274" i="19" s="1"/>
  <c r="D160" i="19"/>
  <c r="D273" i="19" s="1"/>
  <c r="D159" i="19"/>
  <c r="D272" i="19" s="1"/>
  <c r="D154" i="19"/>
  <c r="D267" i="19" s="1"/>
  <c r="B280" i="19"/>
  <c r="B166" i="19"/>
  <c r="B279" i="19" s="1"/>
  <c r="B163" i="19"/>
  <c r="B276" i="19" s="1"/>
  <c r="B162" i="19"/>
  <c r="B275" i="19" s="1"/>
  <c r="B161" i="19"/>
  <c r="B274" i="19" s="1"/>
  <c r="B157" i="19"/>
  <c r="B270" i="19" s="1"/>
  <c r="B156" i="19"/>
  <c r="B269" i="19" s="1"/>
  <c r="B155" i="19"/>
  <c r="B268" i="19" s="1"/>
  <c r="B154" i="19"/>
  <c r="B267" i="19" s="1"/>
  <c r="D70" i="19"/>
  <c r="J37" i="55" l="1"/>
  <c r="J38" i="55" s="1"/>
  <c r="J43" i="55"/>
  <c r="J44" i="55" s="1"/>
  <c r="I7" i="51"/>
  <c r="I8" i="51"/>
  <c r="D155" i="19"/>
  <c r="D268" i="19" s="1"/>
  <c r="E42" i="50"/>
  <c r="C5" i="47"/>
  <c r="E5" i="47" s="1"/>
  <c r="B5" i="47"/>
  <c r="D5" i="47" s="1"/>
  <c r="C432" i="49"/>
  <c r="C445" i="49"/>
  <c r="C460" i="49" s="1"/>
  <c r="C477" i="49" s="1"/>
  <c r="L45" i="44"/>
  <c r="L41" i="44"/>
  <c r="E37" i="32" l="1"/>
  <c r="F89" i="32"/>
  <c r="F94" i="32"/>
  <c r="K42" i="44" l="1"/>
  <c r="K46" i="44" s="1"/>
  <c r="K50" i="44" s="1"/>
  <c r="J42" i="44"/>
  <c r="J46" i="44" s="1"/>
  <c r="J50" i="44" s="1"/>
  <c r="I42" i="44"/>
  <c r="I46" i="44" s="1"/>
  <c r="I50" i="44" s="1"/>
  <c r="H42" i="44"/>
  <c r="H46" i="44" s="1"/>
  <c r="H50" i="44" s="1"/>
  <c r="G42" i="44"/>
  <c r="G46" i="44" s="1"/>
  <c r="G50" i="44" s="1"/>
  <c r="F42" i="44"/>
  <c r="F46" i="44" s="1"/>
  <c r="F50" i="44" s="1"/>
  <c r="E42" i="44"/>
  <c r="E46" i="44" s="1"/>
  <c r="E50" i="44" s="1"/>
  <c r="D42" i="44"/>
  <c r="D46" i="44" s="1"/>
  <c r="D50" i="44" s="1"/>
  <c r="C42" i="44"/>
  <c r="K30" i="44"/>
  <c r="K33" i="44" s="1"/>
  <c r="K36" i="44" s="1"/>
  <c r="J30" i="44"/>
  <c r="J33" i="44" s="1"/>
  <c r="J36" i="44" s="1"/>
  <c r="I30" i="44"/>
  <c r="I33" i="44" s="1"/>
  <c r="I36" i="44" s="1"/>
  <c r="H30" i="44"/>
  <c r="H33" i="44" s="1"/>
  <c r="H36" i="44" s="1"/>
  <c r="G30" i="44"/>
  <c r="G33" i="44" s="1"/>
  <c r="G36" i="44" s="1"/>
  <c r="F30" i="44"/>
  <c r="F33" i="44" s="1"/>
  <c r="F36" i="44" s="1"/>
  <c r="E30" i="44"/>
  <c r="E33" i="44" s="1"/>
  <c r="E36" i="44" s="1"/>
  <c r="D30" i="44"/>
  <c r="D33" i="44" l="1"/>
  <c r="D36" i="44" s="1"/>
  <c r="G40" i="20"/>
  <c r="F40" i="20"/>
  <c r="G9" i="20"/>
  <c r="G18" i="20"/>
  <c r="G8" i="20"/>
  <c r="E24" i="47"/>
  <c r="D24" i="47"/>
  <c r="G329" i="23"/>
  <c r="F329" i="23"/>
  <c r="E329" i="23"/>
  <c r="G301" i="23"/>
  <c r="F301" i="23"/>
  <c r="G307" i="23"/>
  <c r="E301" i="23"/>
  <c r="D301" i="23"/>
  <c r="F292" i="23"/>
  <c r="D292" i="23"/>
  <c r="G292" i="23"/>
  <c r="E292" i="23"/>
  <c r="E237" i="23"/>
  <c r="E244" i="23" s="1"/>
  <c r="D237" i="23"/>
  <c r="D244" i="23" s="1"/>
  <c r="D232" i="23"/>
  <c r="G212" i="23"/>
  <c r="G222" i="23" s="1"/>
  <c r="E266" i="23"/>
  <c r="F222" i="23"/>
  <c r="E121" i="23"/>
  <c r="E110" i="23"/>
  <c r="D110" i="23"/>
  <c r="E191" i="23"/>
  <c r="D191" i="23"/>
  <c r="E180" i="23"/>
  <c r="E161" i="23" s="1"/>
  <c r="D39" i="50" l="1"/>
  <c r="C48" i="36"/>
  <c r="D48" i="36"/>
  <c r="D49" i="36" s="1"/>
  <c r="G17" i="20"/>
  <c r="E311" i="23"/>
  <c r="F96" i="32"/>
  <c r="F98" i="32" s="1"/>
  <c r="E163" i="23"/>
  <c r="E131" i="23"/>
  <c r="E152" i="23"/>
  <c r="E157" i="23" s="1"/>
  <c r="E143" i="23"/>
  <c r="D143" i="23"/>
  <c r="E124" i="23"/>
  <c r="E146" i="23" s="1"/>
  <c r="E160" i="23" s="1"/>
  <c r="E166" i="23" s="1"/>
  <c r="D124" i="23"/>
  <c r="D146" i="23" s="1"/>
  <c r="D160" i="23" s="1"/>
  <c r="D166" i="23" s="1"/>
  <c r="G16" i="20" l="1"/>
  <c r="G14" i="20"/>
  <c r="D186" i="23"/>
  <c r="E186" i="23"/>
  <c r="E14" i="47" l="1"/>
  <c r="D14" i="47"/>
  <c r="C14" i="47"/>
  <c r="E94" i="23" s="1"/>
  <c r="D92" i="23"/>
  <c r="E85" i="23"/>
  <c r="E77" i="23"/>
  <c r="E79" i="23" s="1"/>
  <c r="D77" i="23"/>
  <c r="D79" i="23" s="1"/>
  <c r="E74" i="23"/>
  <c r="D74" i="23"/>
  <c r="E71" i="23"/>
  <c r="D71" i="23"/>
  <c r="E65" i="23"/>
  <c r="D65" i="23"/>
  <c r="E46" i="23"/>
  <c r="D46" i="23"/>
  <c r="D48" i="23" s="1"/>
  <c r="D54" i="23" s="1"/>
  <c r="E36" i="23"/>
  <c r="D36" i="23"/>
  <c r="E22" i="23"/>
  <c r="D22" i="23"/>
  <c r="E12" i="23"/>
  <c r="D12" i="23"/>
  <c r="E73" i="44"/>
  <c r="E77" i="44" s="1"/>
  <c r="E81" i="44" s="1"/>
  <c r="D73" i="44"/>
  <c r="D77" i="44" s="1"/>
  <c r="D81" i="44" s="1"/>
  <c r="C73" i="44"/>
  <c r="C77" i="44" s="1"/>
  <c r="C81" i="44" s="1"/>
  <c r="F72" i="44"/>
  <c r="F71" i="44"/>
  <c r="F70" i="44"/>
  <c r="F69" i="44"/>
  <c r="F64" i="44"/>
  <c r="F83" i="44" s="1"/>
  <c r="F63" i="44"/>
  <c r="F61" i="44"/>
  <c r="F60" i="44"/>
  <c r="F59" i="44"/>
  <c r="E62" i="44"/>
  <c r="D62" i="44"/>
  <c r="C62" i="44"/>
  <c r="L43" i="44"/>
  <c r="C33" i="44"/>
  <c r="C36" i="44" s="1"/>
  <c r="C46" i="44"/>
  <c r="C50" i="44" s="1"/>
  <c r="L38" i="44"/>
  <c r="L31" i="44"/>
  <c r="L32" i="44"/>
  <c r="L52" i="44" s="1"/>
  <c r="E25" i="19" s="1"/>
  <c r="E37" i="19" s="1"/>
  <c r="L37" i="44"/>
  <c r="L39" i="44"/>
  <c r="L40" i="44"/>
  <c r="L44" i="44"/>
  <c r="H17" i="45" l="1"/>
  <c r="F73" i="44"/>
  <c r="F77" i="44" s="1"/>
  <c r="F81" i="44" s="1"/>
  <c r="L30" i="44"/>
  <c r="L33" i="44" s="1"/>
  <c r="L36" i="44" s="1"/>
  <c r="L42" i="44"/>
  <c r="L46" i="44" s="1"/>
  <c r="L50" i="44" s="1"/>
  <c r="D53" i="44"/>
  <c r="E48" i="23"/>
  <c r="E54" i="23" s="1"/>
  <c r="F62" i="44"/>
  <c r="C65" i="44"/>
  <c r="D65" i="44"/>
  <c r="E65" i="44"/>
  <c r="G53" i="44"/>
  <c r="K53" i="44"/>
  <c r="E53" i="44"/>
  <c r="J53" i="44"/>
  <c r="C53" i="44"/>
  <c r="I53" i="44"/>
  <c r="H53" i="44"/>
  <c r="F53" i="44"/>
  <c r="E12" i="46"/>
  <c r="C10" i="46"/>
  <c r="F10" i="46" s="1"/>
  <c r="C11" i="46"/>
  <c r="F11" i="46" s="1"/>
  <c r="D12" i="46"/>
  <c r="F69" i="32"/>
  <c r="G57" i="20"/>
  <c r="F57" i="20"/>
  <c r="E84" i="44" l="1"/>
  <c r="E68" i="44"/>
  <c r="C84" i="44"/>
  <c r="C68" i="44"/>
  <c r="D84" i="44"/>
  <c r="D68" i="44"/>
  <c r="G7" i="20"/>
  <c r="F65" i="44"/>
  <c r="L53" i="44"/>
  <c r="C12" i="46"/>
  <c r="F12" i="46"/>
  <c r="F84" i="44" l="1"/>
  <c r="F68" i="44"/>
  <c r="L10" i="44"/>
  <c r="F13" i="45" l="1"/>
  <c r="G13" i="45" s="1"/>
  <c r="H13" i="45" s="1"/>
  <c r="F12" i="45"/>
  <c r="G12" i="45" s="1"/>
  <c r="H12" i="45" s="1"/>
  <c r="F11" i="45"/>
  <c r="G11" i="45" s="1"/>
  <c r="H11" i="45" s="1"/>
  <c r="F10" i="45"/>
  <c r="G10" i="45" s="1"/>
  <c r="H10" i="45" s="1"/>
  <c r="F8" i="45"/>
  <c r="G8" i="45" s="1"/>
  <c r="H8" i="45" s="1"/>
  <c r="F6" i="45"/>
  <c r="H6" i="45" s="1"/>
  <c r="H22" i="50" l="1"/>
  <c r="H30" i="50" s="1"/>
  <c r="D40" i="36"/>
  <c r="G18" i="44"/>
  <c r="J8" i="44"/>
  <c r="I9" i="44"/>
  <c r="J9" i="44" s="1"/>
  <c r="I11" i="44"/>
  <c r="J11" i="44" s="1"/>
  <c r="L18" i="44"/>
  <c r="I18" i="44" l="1"/>
  <c r="C15" i="45"/>
  <c r="F14" i="45"/>
  <c r="E9" i="45"/>
  <c r="F9" i="45" s="1"/>
  <c r="E7" i="45"/>
  <c r="F7" i="45" s="1"/>
  <c r="H7" i="45" s="1"/>
  <c r="G9" i="45" l="1"/>
  <c r="H9" i="45" s="1"/>
  <c r="G14" i="45"/>
  <c r="H14" i="45" s="1"/>
  <c r="D15" i="45"/>
  <c r="E15" i="45"/>
  <c r="F15" i="45"/>
  <c r="C18" i="44"/>
  <c r="H16" i="44"/>
  <c r="J16" i="44" s="1"/>
  <c r="D16" i="44"/>
  <c r="F16" i="44" s="1"/>
  <c r="H15" i="44"/>
  <c r="J15" i="44" s="1"/>
  <c r="F15" i="44"/>
  <c r="H14" i="44"/>
  <c r="J14" i="44" s="1"/>
  <c r="F14" i="44"/>
  <c r="H13" i="44"/>
  <c r="J13" i="44" s="1"/>
  <c r="F13" i="44"/>
  <c r="H12" i="44"/>
  <c r="J12" i="44" s="1"/>
  <c r="F12" i="44"/>
  <c r="E11" i="44"/>
  <c r="F11" i="44" s="1"/>
  <c r="K11" i="44" s="1"/>
  <c r="H10" i="44"/>
  <c r="J10" i="44" s="1"/>
  <c r="F10" i="44"/>
  <c r="E9" i="44"/>
  <c r="F9" i="44" s="1"/>
  <c r="K9" i="44" s="1"/>
  <c r="F8" i="44"/>
  <c r="K8" i="44" s="1"/>
  <c r="F68" i="42"/>
  <c r="F61" i="42"/>
  <c r="N51" i="42"/>
  <c r="M51" i="42"/>
  <c r="O44" i="42"/>
  <c r="I44" i="42"/>
  <c r="F44" i="42"/>
  <c r="O43" i="42"/>
  <c r="O42" i="42"/>
  <c r="O41" i="42"/>
  <c r="I40" i="42"/>
  <c r="N31" i="42"/>
  <c r="I30" i="42"/>
  <c r="I25" i="42"/>
  <c r="I22" i="42"/>
  <c r="I24" i="42" s="1"/>
  <c r="I26" i="42" s="1"/>
  <c r="P21" i="42"/>
  <c r="M21" i="42"/>
  <c r="R15" i="42"/>
  <c r="R14" i="42"/>
  <c r="O13" i="42"/>
  <c r="O12" i="42"/>
  <c r="N11" i="42"/>
  <c r="N21" i="42" s="1"/>
  <c r="K10" i="44" l="1"/>
  <c r="I31" i="42"/>
  <c r="I33" i="42" s="1"/>
  <c r="I35" i="42" s="1"/>
  <c r="I37" i="42" s="1"/>
  <c r="G15" i="45"/>
  <c r="E22" i="42" s="1"/>
  <c r="F22" i="42" s="1"/>
  <c r="O21" i="42"/>
  <c r="O51" i="42"/>
  <c r="H15" i="45"/>
  <c r="H18" i="45" s="1"/>
  <c r="I46" i="42"/>
  <c r="I50" i="42" s="1"/>
  <c r="I52" i="42" s="1"/>
  <c r="I54" i="42" s="1"/>
  <c r="K14" i="44"/>
  <c r="K12" i="44"/>
  <c r="K16" i="44"/>
  <c r="J18" i="44"/>
  <c r="K13" i="44"/>
  <c r="K15" i="44"/>
  <c r="D18" i="44"/>
  <c r="E18" i="44"/>
  <c r="F18" i="44"/>
  <c r="H18" i="44"/>
  <c r="R16" i="42"/>
  <c r="R17" i="42" s="1"/>
  <c r="K18" i="44" l="1"/>
  <c r="H19" i="45" s="1"/>
  <c r="F18" i="42"/>
  <c r="F24" i="42" s="1"/>
  <c r="F19" i="20"/>
  <c r="E26" i="32" s="1"/>
  <c r="E62" i="32" s="1"/>
  <c r="I55" i="42"/>
  <c r="H20" i="45" l="1"/>
  <c r="B14" i="47"/>
  <c r="D94" i="23" s="1"/>
  <c r="B89" i="2" l="1"/>
  <c r="B130" i="2"/>
  <c r="C60" i="2"/>
  <c r="B31" i="2"/>
  <c r="D83" i="23" s="1"/>
  <c r="D85" i="23" s="1"/>
  <c r="C145" i="2"/>
  <c r="C165" i="2" l="1"/>
  <c r="B8" i="2" s="1"/>
  <c r="B91" i="2"/>
  <c r="H13" i="2"/>
  <c r="H15" i="2"/>
  <c r="H14" i="2"/>
  <c r="D343" i="23" l="1"/>
  <c r="F8" i="20" l="1"/>
  <c r="E15" i="32" s="1"/>
  <c r="B96" i="2"/>
  <c r="B56" i="18"/>
  <c r="B38" i="2" s="1"/>
  <c r="D119" i="23" s="1"/>
  <c r="C294" i="40" l="1"/>
  <c r="C291" i="40"/>
  <c r="B288" i="40"/>
  <c r="C288" i="40"/>
  <c r="I59" i="40"/>
  <c r="I50" i="40"/>
  <c r="C187" i="2"/>
  <c r="C140" i="2" s="1"/>
  <c r="B94" i="39"/>
  <c r="B33" i="2" s="1"/>
  <c r="D113" i="23" s="1"/>
  <c r="B88" i="39"/>
  <c r="C88" i="39"/>
  <c r="B95" i="39" s="1"/>
  <c r="C64" i="2" s="1"/>
  <c r="C87" i="2"/>
  <c r="B86" i="2"/>
  <c r="C85" i="2"/>
  <c r="B84" i="2"/>
  <c r="C83" i="2"/>
  <c r="B82" i="2"/>
  <c r="C81" i="2"/>
  <c r="B80" i="2"/>
  <c r="C79" i="2"/>
  <c r="B78" i="2"/>
  <c r="B17" i="2"/>
  <c r="D129" i="23" s="1"/>
  <c r="B16" i="2"/>
  <c r="D128" i="23" s="1"/>
  <c r="B15" i="2"/>
  <c r="D127" i="23" s="1"/>
  <c r="B14" i="2"/>
  <c r="D125" i="23" s="1"/>
  <c r="B13" i="2"/>
  <c r="D126" i="23" s="1"/>
  <c r="B100" i="2"/>
  <c r="C56" i="2"/>
  <c r="D323" i="23" s="1"/>
  <c r="D329" i="23" s="1"/>
  <c r="C54" i="2"/>
  <c r="B90" i="2"/>
  <c r="C61" i="2"/>
  <c r="B129" i="2"/>
  <c r="B117" i="2"/>
  <c r="C9" i="2"/>
  <c r="B139" i="2"/>
  <c r="B113" i="2"/>
  <c r="B138" i="2"/>
  <c r="B135" i="2"/>
  <c r="B136" i="2"/>
  <c r="B119" i="2"/>
  <c r="B115" i="2"/>
  <c r="B125" i="2"/>
  <c r="B132" i="2"/>
  <c r="C144" i="2"/>
  <c r="B118" i="2"/>
  <c r="B123" i="2"/>
  <c r="B133" i="2"/>
  <c r="B131" i="2"/>
  <c r="B137" i="2"/>
  <c r="B146" i="2"/>
  <c r="B127" i="2"/>
  <c r="B116" i="2"/>
  <c r="B122" i="2"/>
  <c r="B126" i="2"/>
  <c r="B102" i="2"/>
  <c r="B128" i="2"/>
  <c r="B109" i="2"/>
  <c r="B111" i="2"/>
  <c r="B107" i="2"/>
  <c r="B99" i="2"/>
  <c r="B112" i="2"/>
  <c r="B110" i="2"/>
  <c r="B108" i="2"/>
  <c r="B92" i="2"/>
  <c r="B101" i="2"/>
  <c r="B95" i="2"/>
  <c r="B98" i="2"/>
  <c r="B120" i="2"/>
  <c r="B97" i="2"/>
  <c r="B93" i="2"/>
  <c r="B94" i="2"/>
  <c r="C68" i="2"/>
  <c r="C70" i="2"/>
  <c r="C51" i="2"/>
  <c r="C71" i="2"/>
  <c r="D350" i="23" s="1"/>
  <c r="C45" i="2"/>
  <c r="C52" i="2"/>
  <c r="C53" i="2"/>
  <c r="C50" i="2"/>
  <c r="C63" i="2"/>
  <c r="D340" i="23" s="1"/>
  <c r="C62" i="2"/>
  <c r="C58" i="2"/>
  <c r="C67" i="2"/>
  <c r="C49" i="2"/>
  <c r="D338" i="23" s="1"/>
  <c r="C46" i="2"/>
  <c r="D339" i="23" s="1"/>
  <c r="C48" i="2"/>
  <c r="C39" i="2"/>
  <c r="C41" i="2"/>
  <c r="C42" i="2"/>
  <c r="C40" i="2"/>
  <c r="C59" i="2"/>
  <c r="C65" i="2"/>
  <c r="C34" i="2"/>
  <c r="B22" i="2"/>
  <c r="D172" i="23" s="1"/>
  <c r="B32" i="2"/>
  <c r="D115" i="23" s="1"/>
  <c r="B29" i="2"/>
  <c r="B30" i="2"/>
  <c r="D120" i="23" s="1"/>
  <c r="B23" i="2"/>
  <c r="D173" i="23" s="1"/>
  <c r="B25" i="2"/>
  <c r="D175" i="23" s="1"/>
  <c r="C5" i="2"/>
  <c r="E204" i="23" s="1"/>
  <c r="B20" i="2"/>
  <c r="D170" i="23" s="1"/>
  <c r="B24" i="2"/>
  <c r="D174" i="23" s="1"/>
  <c r="B21" i="2"/>
  <c r="D171" i="23" s="1"/>
  <c r="B26" i="2"/>
  <c r="D176" i="23" s="1"/>
  <c r="B19" i="2"/>
  <c r="D169" i="23" s="1"/>
  <c r="B27" i="2"/>
  <c r="D179" i="23" s="1"/>
  <c r="C7" i="2"/>
  <c r="C6" i="2" s="1"/>
  <c r="E212" i="23" s="1"/>
  <c r="C11" i="2"/>
  <c r="C10" i="2"/>
  <c r="B141" i="2"/>
  <c r="C72" i="2"/>
  <c r="E347" i="23"/>
  <c r="D131" i="23" l="1"/>
  <c r="D180" i="23"/>
  <c r="E96" i="32" s="1"/>
  <c r="E98" i="32" s="1"/>
  <c r="D121" i="23"/>
  <c r="D229" i="23"/>
  <c r="E222" i="23"/>
  <c r="B93" i="39"/>
  <c r="B18" i="2" s="1"/>
  <c r="D152" i="23" s="1"/>
  <c r="D157" i="23" s="1"/>
  <c r="E352" i="23"/>
  <c r="C290" i="40"/>
  <c r="C293" i="40" s="1"/>
  <c r="C296" i="40" s="1"/>
  <c r="B90" i="39"/>
  <c r="D161" i="23" l="1"/>
  <c r="F7" i="20"/>
  <c r="F18" i="20"/>
  <c r="E14" i="32" s="1"/>
  <c r="E36" i="32"/>
  <c r="F16" i="20"/>
  <c r="F14" i="20"/>
  <c r="D163" i="23"/>
  <c r="D347" i="23"/>
  <c r="B148" i="2"/>
  <c r="D210" i="23"/>
  <c r="D230" i="23" s="1"/>
  <c r="D349" i="23"/>
  <c r="I6" i="51" l="1"/>
  <c r="C7" i="51" s="1"/>
  <c r="D335" i="23"/>
  <c r="D305" i="23"/>
  <c r="D344" i="23"/>
  <c r="D346" i="23"/>
  <c r="D348" i="23"/>
  <c r="D250" i="23"/>
  <c r="I127" i="32" s="1"/>
  <c r="D253" i="23"/>
  <c r="I132" i="32" s="1"/>
  <c r="C168" i="2"/>
  <c r="C143" i="2" s="1"/>
  <c r="H20" i="2"/>
  <c r="G20" i="2"/>
  <c r="J15" i="2"/>
  <c r="J16" i="2"/>
  <c r="C6" i="51" l="1"/>
  <c r="F9" i="20"/>
  <c r="C148" i="2"/>
  <c r="D341" i="23"/>
  <c r="D342" i="23"/>
  <c r="F17" i="20" l="1"/>
  <c r="I14" i="51" l="1"/>
  <c r="C12" i="51" s="1"/>
  <c r="I9" i="51"/>
  <c r="C11" i="51" s="1"/>
  <c r="D345" i="23"/>
  <c r="D352" i="23" s="1"/>
  <c r="D251" i="23"/>
  <c r="D28" i="36" l="1"/>
  <c r="C25" i="36" s="1"/>
  <c r="C28" i="36" s="1"/>
  <c r="C31" i="36"/>
  <c r="C40" i="36" l="1"/>
  <c r="C34" i="36"/>
  <c r="F17" i="21"/>
  <c r="E68" i="31"/>
  <c r="J264" i="23"/>
  <c r="J266" i="23" s="1"/>
  <c r="B152" i="31"/>
  <c r="B154" i="31" s="1"/>
  <c r="B143" i="31"/>
  <c r="B145" i="31" s="1"/>
  <c r="B133" i="31"/>
  <c r="E21" i="21"/>
  <c r="C16" i="21"/>
  <c r="B2" i="35"/>
  <c r="C2" i="35" s="1"/>
  <c r="C3" i="35" s="1"/>
  <c r="K142" i="32"/>
  <c r="K143" i="32"/>
  <c r="J144" i="32"/>
  <c r="I144" i="32"/>
  <c r="M141" i="32" s="1"/>
  <c r="B156" i="31" l="1"/>
  <c r="K141" i="32"/>
  <c r="E44" i="32" l="1"/>
  <c r="I26" i="27" l="1"/>
  <c r="E10" i="33" l="1"/>
  <c r="E307" i="23" l="1"/>
  <c r="E55" i="32" l="1"/>
  <c r="E20" i="29" l="1"/>
  <c r="D20" i="29"/>
  <c r="C20" i="29"/>
  <c r="F18" i="29"/>
  <c r="G18" i="29" s="1"/>
  <c r="F17" i="29"/>
  <c r="F16" i="29"/>
  <c r="F15" i="29"/>
  <c r="G15" i="29" s="1"/>
  <c r="H15" i="29" s="1"/>
  <c r="F14" i="29"/>
  <c r="G14" i="29" s="1"/>
  <c r="F13" i="29"/>
  <c r="G13" i="29" s="1"/>
  <c r="F12" i="29"/>
  <c r="G12" i="29" s="1"/>
  <c r="H12" i="29" s="1"/>
  <c r="F11" i="29"/>
  <c r="F10" i="29"/>
  <c r="H18" i="29" l="1"/>
  <c r="G11" i="29"/>
  <c r="H11" i="29" s="1"/>
  <c r="H14" i="29"/>
  <c r="F20" i="29"/>
  <c r="G17" i="29"/>
  <c r="H17" i="29" s="1"/>
  <c r="G16" i="29"/>
  <c r="H16" i="29" s="1"/>
  <c r="H10" i="29"/>
  <c r="H13" i="29"/>
  <c r="G20" i="29" l="1"/>
  <c r="B16" i="30" s="1"/>
  <c r="H20" i="29"/>
  <c r="C11" i="30" s="1"/>
  <c r="H31" i="28"/>
  <c r="H54" i="27"/>
  <c r="I57" i="27" s="1"/>
  <c r="I64" i="27" l="1"/>
  <c r="D307" i="23" l="1"/>
  <c r="D311" i="23" l="1"/>
  <c r="B7" i="8"/>
  <c r="E38" i="32" l="1"/>
  <c r="J102" i="25"/>
  <c r="D266" i="23" l="1"/>
  <c r="B24" i="8" l="1"/>
  <c r="B17" i="8"/>
  <c r="B11" i="8"/>
  <c r="B20" i="24" l="1"/>
  <c r="B16" i="8" l="1"/>
  <c r="B23" i="8"/>
  <c r="B9" i="8" l="1"/>
  <c r="E115" i="32"/>
  <c r="G23" i="20"/>
  <c r="G24" i="20" s="1"/>
  <c r="C15" i="21"/>
  <c r="C19" i="21" s="1"/>
  <c r="D41" i="36"/>
  <c r="C41" i="36"/>
  <c r="K20" i="24"/>
  <c r="H20" i="24"/>
  <c r="G20" i="24"/>
  <c r="F20" i="24"/>
  <c r="D20" i="24"/>
  <c r="C20" i="24"/>
  <c r="I18" i="24"/>
  <c r="E18" i="24"/>
  <c r="I17" i="24"/>
  <c r="E17" i="24"/>
  <c r="I16" i="24"/>
  <c r="E16" i="24"/>
  <c r="I15" i="24"/>
  <c r="E15" i="24"/>
  <c r="I14" i="24"/>
  <c r="E14" i="24"/>
  <c r="I13" i="24"/>
  <c r="E13" i="24"/>
  <c r="I12" i="24"/>
  <c r="E12" i="24"/>
  <c r="I11" i="24"/>
  <c r="E11" i="24"/>
  <c r="I10" i="24"/>
  <c r="E10" i="24"/>
  <c r="D222" i="23"/>
  <c r="F21" i="21"/>
  <c r="F18" i="21"/>
  <c r="E19" i="21"/>
  <c r="F7" i="21"/>
  <c r="F6" i="21"/>
  <c r="G11" i="20"/>
  <c r="E34" i="32" l="1"/>
  <c r="J12" i="24"/>
  <c r="J16" i="24"/>
  <c r="E53" i="32"/>
  <c r="E69" i="32" s="1"/>
  <c r="G26" i="20"/>
  <c r="J14" i="24"/>
  <c r="J13" i="24"/>
  <c r="J17" i="24"/>
  <c r="E20" i="24"/>
  <c r="J11" i="24"/>
  <c r="I20" i="24"/>
  <c r="J15" i="24"/>
  <c r="J18" i="24"/>
  <c r="J10" i="24"/>
  <c r="F197" i="23"/>
  <c r="D197" i="23"/>
  <c r="F8" i="21"/>
  <c r="F10" i="21" s="1"/>
  <c r="E8" i="21"/>
  <c r="E10" i="21" s="1"/>
  <c r="I12" i="51" l="1"/>
  <c r="E42" i="32"/>
  <c r="G29" i="20"/>
  <c r="G31" i="20" s="1"/>
  <c r="F11" i="32"/>
  <c r="F32" i="32" s="1"/>
  <c r="F43" i="32" s="1"/>
  <c r="F45" i="32" s="1"/>
  <c r="F47" i="32" s="1"/>
  <c r="D225" i="23"/>
  <c r="D236" i="23" s="1"/>
  <c r="D271" i="23"/>
  <c r="D296" i="23" s="1"/>
  <c r="D310" i="23" s="1"/>
  <c r="F271" i="23"/>
  <c r="F296" i="23" s="1"/>
  <c r="E310" i="23" s="1"/>
  <c r="E236" i="23"/>
  <c r="D248" i="23"/>
  <c r="E248" i="23"/>
  <c r="E333" i="23" s="1"/>
  <c r="J20" i="24"/>
  <c r="I11" i="51" l="1"/>
  <c r="C9" i="51" s="1"/>
  <c r="G36" i="20"/>
  <c r="I36" i="20" s="1"/>
  <c r="F319" i="23"/>
  <c r="D333" i="23"/>
  <c r="D42" i="36"/>
  <c r="G41" i="20" l="1"/>
  <c r="G58" i="20"/>
  <c r="G62" i="20" s="1"/>
  <c r="G65" i="20" s="1"/>
  <c r="D319" i="23"/>
  <c r="E87" i="32"/>
  <c r="B8" i="8"/>
  <c r="H45" i="16"/>
  <c r="G66" i="20" l="1"/>
  <c r="G69" i="20" s="1"/>
  <c r="G61" i="20"/>
  <c r="G68" i="20" s="1"/>
  <c r="F11" i="20"/>
  <c r="F23" i="20"/>
  <c r="C35" i="16"/>
  <c r="C10" i="16"/>
  <c r="D29" i="16"/>
  <c r="D31" i="16" s="1"/>
  <c r="D13" i="16"/>
  <c r="D20" i="16" s="1"/>
  <c r="D23" i="16" s="1"/>
  <c r="D25" i="16" s="1"/>
  <c r="B17" i="30" l="1"/>
  <c r="B18" i="30" s="1"/>
  <c r="B20" i="30" s="1"/>
  <c r="H24" i="28"/>
  <c r="C19" i="16"/>
  <c r="C11" i="16"/>
  <c r="C21" i="16" s="1"/>
  <c r="C16" i="16"/>
  <c r="C15" i="16"/>
  <c r="C12" i="16"/>
  <c r="C28" i="16"/>
  <c r="B10" i="30"/>
  <c r="C18" i="16"/>
  <c r="D36" i="16"/>
  <c r="D38" i="16" s="1"/>
  <c r="D40" i="16" s="1"/>
  <c r="B9" i="30"/>
  <c r="C9" i="30" s="1"/>
  <c r="C10" i="30" s="1"/>
  <c r="B11" i="30" l="1"/>
  <c r="E10" i="30"/>
  <c r="E13" i="30"/>
  <c r="H28" i="28"/>
  <c r="I25" i="28"/>
  <c r="C30" i="16"/>
  <c r="C31" i="16" s="1"/>
  <c r="C17" i="16"/>
  <c r="G10" i="30" l="1"/>
  <c r="C21" i="30" s="1"/>
  <c r="C34" i="16" l="1"/>
  <c r="C36" i="16" s="1"/>
  <c r="B22" i="8" l="1"/>
  <c r="B15" i="8"/>
  <c r="C25" i="8"/>
  <c r="C18" i="8"/>
  <c r="C10" i="8"/>
  <c r="C12" i="8" s="1"/>
  <c r="C27" i="8" l="1"/>
  <c r="B25" i="8"/>
  <c r="B18" i="8"/>
  <c r="B10" i="8"/>
  <c r="B12" i="8" s="1"/>
  <c r="B27" i="8" l="1"/>
  <c r="F24" i="20" s="1"/>
  <c r="B152" i="2"/>
  <c r="F26" i="20" l="1"/>
  <c r="E11" i="32" s="1"/>
  <c r="E32" i="32" s="1"/>
  <c r="E43" i="32" s="1"/>
  <c r="C8" i="16"/>
  <c r="C13" i="16" s="1"/>
  <c r="C20" i="16" s="1"/>
  <c r="C23" i="16" s="1"/>
  <c r="C25" i="16" s="1"/>
  <c r="C38" i="16" s="1"/>
  <c r="C40" i="16" s="1"/>
  <c r="C45" i="16" s="1"/>
  <c r="F29" i="20" l="1"/>
  <c r="F31" i="20" s="1"/>
  <c r="E45" i="32"/>
  <c r="E47" i="32" s="1"/>
  <c r="F16" i="21"/>
  <c r="F15" i="21"/>
  <c r="I22" i="28" l="1"/>
  <c r="I26" i="28" s="1"/>
  <c r="I32" i="28" s="1"/>
  <c r="I33" i="28" s="1"/>
  <c r="I34" i="28" s="1"/>
  <c r="F36" i="28" s="1"/>
  <c r="I36" i="28" s="1"/>
  <c r="I38" i="28" s="1"/>
  <c r="I39" i="28" s="1"/>
  <c r="I60" i="27" s="1"/>
  <c r="I22" i="27"/>
  <c r="I27" i="27" s="1"/>
  <c r="I30" i="27" s="1"/>
  <c r="I32" i="27" s="1"/>
  <c r="I33" i="27" s="1"/>
  <c r="F40" i="42"/>
  <c r="F46" i="42" s="1"/>
  <c r="K11" i="32"/>
  <c r="F19" i="21"/>
  <c r="F26" i="42" l="1"/>
  <c r="E116" i="32"/>
  <c r="E117" i="32" s="1"/>
  <c r="F49" i="42"/>
  <c r="I36" i="27"/>
  <c r="I37" i="27" s="1"/>
  <c r="E39" i="27" s="1"/>
  <c r="I39" i="27" s="1"/>
  <c r="I41" i="27" s="1"/>
  <c r="I42" i="27" s="1"/>
  <c r="F31" i="42" l="1"/>
  <c r="F33" i="42" s="1"/>
  <c r="F35" i="42" s="1"/>
  <c r="F37" i="42" s="1"/>
  <c r="E29" i="42"/>
  <c r="F50" i="42"/>
  <c r="F52" i="42"/>
  <c r="G52" i="42" s="1"/>
  <c r="I58" i="27"/>
  <c r="I61" i="27" s="1"/>
  <c r="I65" i="27" s="1"/>
  <c r="I46" i="27"/>
  <c r="F54" i="42" l="1"/>
  <c r="F56" i="42" s="1"/>
  <c r="F57" i="42" s="1"/>
  <c r="F58" i="42" s="1"/>
  <c r="X52" i="42"/>
  <c r="G22" i="21"/>
  <c r="F60" i="42" l="1"/>
  <c r="F64" i="42" s="1"/>
  <c r="G14" i="30"/>
  <c r="G15" i="30" s="1"/>
  <c r="H10" i="30"/>
  <c r="I10" i="30" s="1"/>
  <c r="H22" i="45"/>
  <c r="F69" i="42" l="1"/>
  <c r="D359" i="49" s="1"/>
  <c r="F34" i="20"/>
  <c r="F36" i="20" s="1"/>
  <c r="D96" i="23"/>
  <c r="D97" i="23" s="1"/>
  <c r="E96" i="23"/>
  <c r="E97" i="23" s="1"/>
  <c r="D366" i="49" l="1"/>
  <c r="E62" i="19" s="1"/>
  <c r="E116" i="19"/>
  <c r="E119" i="19" s="1"/>
  <c r="I12" i="55" s="1"/>
  <c r="J12" i="55"/>
  <c r="J14" i="55" s="1"/>
  <c r="F58" i="20"/>
  <c r="C20" i="21" s="1"/>
  <c r="F41" i="20"/>
  <c r="H41" i="20" s="1"/>
  <c r="E88" i="32"/>
  <c r="E64" i="19" l="1"/>
  <c r="E208" i="19"/>
  <c r="E215" i="19" s="1"/>
  <c r="E217" i="19" s="1"/>
  <c r="E219" i="19" s="1"/>
  <c r="E258" i="19" s="1"/>
  <c r="E261" i="19" s="1"/>
  <c r="I18" i="55"/>
  <c r="I14" i="55"/>
  <c r="E141" i="19"/>
  <c r="E144" i="19" s="1"/>
  <c r="E124" i="19"/>
  <c r="F69" i="25"/>
  <c r="J18" i="55"/>
  <c r="J25" i="55"/>
  <c r="J26" i="55" s="1"/>
  <c r="J49" i="55"/>
  <c r="F62" i="20"/>
  <c r="F66" i="20" s="1"/>
  <c r="F69" i="20" s="1"/>
  <c r="F61" i="20"/>
  <c r="E22" i="21"/>
  <c r="C22" i="21"/>
  <c r="F20" i="21"/>
  <c r="F22" i="21" s="1"/>
  <c r="H22" i="21" s="1"/>
  <c r="I49" i="55" l="1"/>
  <c r="E65" i="19"/>
  <c r="I25" i="55"/>
  <c r="I26" i="55" s="1"/>
  <c r="F71" i="25"/>
  <c r="F72" i="25" s="1"/>
  <c r="F33" i="50"/>
  <c r="E145" i="19"/>
  <c r="E152" i="19" s="1"/>
  <c r="E151" i="19"/>
  <c r="F65" i="20"/>
  <c r="F68" i="20" s="1"/>
  <c r="C42" i="36"/>
  <c r="C47" i="36"/>
  <c r="C49" i="36" s="1"/>
  <c r="E42" i="19" l="1"/>
  <c r="E43" i="19" s="1"/>
  <c r="I50" i="55" s="1"/>
  <c r="I51" i="55" s="1"/>
  <c r="H33" i="50"/>
  <c r="H35" i="50" s="1"/>
  <c r="H39" i="50" s="1"/>
  <c r="F35" i="50"/>
  <c r="F39" i="50" s="1"/>
  <c r="A2" i="47"/>
  <c r="B2" i="45" s="1"/>
  <c r="E67" i="19" l="1"/>
  <c r="G67" i="19" s="1"/>
  <c r="I19" i="55"/>
  <c r="I20" i="55" s="1"/>
  <c r="J19" i="55"/>
  <c r="J20" i="55" s="1"/>
  <c r="J50" i="55"/>
  <c r="J51" i="55" s="1"/>
  <c r="E82" i="32" l="1"/>
  <c r="E89" i="32" s="1"/>
  <c r="E91" i="32" s="1"/>
  <c r="E94" i="32" s="1"/>
</calcChain>
</file>

<file path=xl/sharedStrings.xml><?xml version="1.0" encoding="utf-8"?>
<sst xmlns="http://schemas.openxmlformats.org/spreadsheetml/2006/main" count="7912" uniqueCount="3746">
  <si>
    <t xml:space="preserve">                          </t>
  </si>
  <si>
    <t xml:space="preserve"> Profit/Loss A/C                                            </t>
  </si>
  <si>
    <t xml:space="preserve">    SECURED LOANS                                           </t>
  </si>
  <si>
    <t xml:space="preserve">        SALES TAX DEFFERMENT                                </t>
  </si>
  <si>
    <t xml:space="preserve"> FIXED ASSTES                                               </t>
  </si>
  <si>
    <t xml:space="preserve">    Depreciation Reserve                                    </t>
  </si>
  <si>
    <t xml:space="preserve"> Share Capital                                              </t>
  </si>
  <si>
    <t xml:space="preserve">    REVALUATION RESERVE                                     </t>
  </si>
  <si>
    <t xml:space="preserve">    INVENTORIES                                             </t>
  </si>
  <si>
    <t xml:space="preserve">        Cl. Stock - Pack. Mat                               </t>
  </si>
  <si>
    <t xml:space="preserve">        Cl. Stock - Raw Material                            </t>
  </si>
  <si>
    <t xml:space="preserve">        Cl. Stock - W-in-P                                  </t>
  </si>
  <si>
    <t xml:space="preserve">        Cl. Stock - Fin Goods                               </t>
  </si>
  <si>
    <t xml:space="preserve">        Cl. Stock - Consumables                             </t>
  </si>
  <si>
    <t xml:space="preserve">    SUNDRY DEBTORS                                          </t>
  </si>
  <si>
    <t xml:space="preserve">            KOTTAKKALS SURGICALS,                           </t>
  </si>
  <si>
    <t xml:space="preserve">            VISHWA ENTERPRISES                              </t>
  </si>
  <si>
    <t xml:space="preserve">            G.D.PHARMACEUTICALS                             </t>
  </si>
  <si>
    <t xml:space="preserve">            HIMADRI SURGICAL AGENCY                         </t>
  </si>
  <si>
    <t xml:space="preserve">            IMMUNE BIO MEDICAL SYSTEM ( STA, CHENNAI )      </t>
  </si>
  <si>
    <t xml:space="preserve">            JAY JAGDAMBA AGENCIES                           </t>
  </si>
  <si>
    <t xml:space="preserve">            LAXMI HEALTH AGENCIES ( STA, GOA )              </t>
  </si>
  <si>
    <t xml:space="preserve">            NEW ERA MARKETING                               </t>
  </si>
  <si>
    <t xml:space="preserve">            NEWELL AGENCIES &amp; PHARMACEUTICAL DISTRIBUTORS (N</t>
  </si>
  <si>
    <t xml:space="preserve">            SANJAY MEDICAL &amp; GENERAL STORES - PUNE          </t>
  </si>
  <si>
    <t xml:space="preserve">            UNIVERSAL SURGICAL ASSOCIATES                   </t>
  </si>
  <si>
    <t xml:space="preserve">            ROHITH PHARMACEUTICAL                           </t>
  </si>
  <si>
    <t xml:space="preserve">            PIONEER AGENCIES.                               </t>
  </si>
  <si>
    <t xml:space="preserve">            CSR LIFE SCIENCES                               </t>
  </si>
  <si>
    <t xml:space="preserve">            PRINCE MEDICAL AGENCIES                         </t>
  </si>
  <si>
    <t xml:space="preserve">            MILLENNIUM HEALTHCARE                           </t>
  </si>
  <si>
    <t xml:space="preserve">            MEDIZINTEK(STA)                                 </t>
  </si>
  <si>
    <t xml:space="preserve">            MILLENIUM SURGICALS (ADV)                       </t>
  </si>
  <si>
    <t xml:space="preserve">            AMBA ENTERPRISES ( ADV)                         </t>
  </si>
  <si>
    <t xml:space="preserve">            PRAVEEN DRUG HOUSE - ADV                        </t>
  </si>
  <si>
    <t xml:space="preserve">            MOURYA ENTERPRISES                              </t>
  </si>
  <si>
    <t xml:space="preserve">            PRAVEEN PHARMA                                  </t>
  </si>
  <si>
    <t xml:space="preserve">            PURANI HOSPITALS SUPPLIES LTD                   </t>
  </si>
  <si>
    <t xml:space="preserve">            SHIVALI AGENCIES - ADV 2                        </t>
  </si>
  <si>
    <t xml:space="preserve">            GURU KRIPA ENTERPRISES                          </t>
  </si>
  <si>
    <t xml:space="preserve">            LINK SURGICALS - KANNUR                         </t>
  </si>
  <si>
    <t xml:space="preserve">            BIOCHEM PHARMACEUTICALS IND. LTD., ( INV, MUMBAI</t>
  </si>
  <si>
    <t xml:space="preserve">            COCHIN PHARMA                                   </t>
  </si>
  <si>
    <t xml:space="preserve">            MEDIZINTEK                                      </t>
  </si>
  <si>
    <t xml:space="preserve">            THANVEER MEDICAL DISTRIBUTORS                   </t>
  </si>
  <si>
    <t xml:space="preserve">            MEERA MEDICALS                                  </t>
  </si>
  <si>
    <t xml:space="preserve">            SRIJAN ENTERPRISES.                             </t>
  </si>
  <si>
    <t xml:space="preserve">            C. S. ASSOCIATES                                </t>
  </si>
  <si>
    <t xml:space="preserve">            VANCHINNAD MEDICALS &amp; SURGICALS                 </t>
  </si>
  <si>
    <t xml:space="preserve">            MIRAJ DISTRIBUTORS.                             </t>
  </si>
  <si>
    <t xml:space="preserve">            SRADDHA PHARMA                                  </t>
  </si>
  <si>
    <t xml:space="preserve">            SUNNY'S PHARMA                                  </t>
  </si>
  <si>
    <t xml:space="preserve">            MEDIZIN BIOPHARMA PVT LTD                       </t>
  </si>
  <si>
    <t xml:space="preserve">            FAITH PHARMA &amp; SURGICALS                        </t>
  </si>
  <si>
    <t xml:space="preserve">            SURGI PLAST                                     </t>
  </si>
  <si>
    <t xml:space="preserve">            R R PHARMACEUTICALS                             </t>
  </si>
  <si>
    <t xml:space="preserve">            MAHAJAN &amp; MAHAJAN PHARMACEUTICALS               </t>
  </si>
  <si>
    <t xml:space="preserve">            SASA AGENCIES                                   </t>
  </si>
  <si>
    <t xml:space="preserve">            MANASA PHARMA (STA)                             </t>
  </si>
  <si>
    <t xml:space="preserve">            A &amp; B ASSOCIATES,                               </t>
  </si>
  <si>
    <t xml:space="preserve">            HEZAL PHARMA.                                   </t>
  </si>
  <si>
    <t xml:space="preserve">            RAJA PHARMA                                     </t>
  </si>
  <si>
    <t xml:space="preserve">            ANAND DRUG LINES                                </t>
  </si>
  <si>
    <t xml:space="preserve">            ANIKA SURGICALS                                 </t>
  </si>
  <si>
    <t xml:space="preserve">            NANDINI MEDICAL AGENCIES                        </t>
  </si>
  <si>
    <t xml:space="preserve">            BREXEMED (INDIA)                                </t>
  </si>
  <si>
    <t xml:space="preserve">            GANESHA MEDICAL AGENCY                          </t>
  </si>
  <si>
    <t xml:space="preserve">            SHREE ASSOCIATES                                </t>
  </si>
  <si>
    <t xml:space="preserve">            Hi Care Enterprises                             </t>
  </si>
  <si>
    <t xml:space="preserve">            Laxmi Scientific Co                             </t>
  </si>
  <si>
    <t xml:space="preserve">            JAGDAMBAY MEDICAL AGENCIES                      </t>
  </si>
  <si>
    <t xml:space="preserve">            PADMASHREE DISTRIBUTORS                         </t>
  </si>
  <si>
    <t xml:space="preserve">            APPASAMY ASSOCIATES                             </t>
  </si>
  <si>
    <t xml:space="preserve">            MEDICAMEN TRADING CORPORATION                   </t>
  </si>
  <si>
    <t xml:space="preserve">            KARTHIK RANGA MEDICAL AGENCIES                  </t>
  </si>
  <si>
    <t xml:space="preserve">            BRINK SURGICALS                                 </t>
  </si>
  <si>
    <t xml:space="preserve">            SIKKIM MEDICINE MART &amp; CO                       </t>
  </si>
  <si>
    <t xml:space="preserve">            A.P.MEDICAL SERVICES&amp;INFRASTRUCTURE DEV.CORPORAT</t>
  </si>
  <si>
    <t xml:space="preserve">            VASANT MEDICAL DISTRIBUTORS                     </t>
  </si>
  <si>
    <t xml:space="preserve">            CANADIAN ASSOCIATES                             </t>
  </si>
  <si>
    <t xml:space="preserve">            LOUIS HEALTH CARE                               </t>
  </si>
  <si>
    <t xml:space="preserve">            KARTHIK SURGICAL EMPORIUM                       </t>
  </si>
  <si>
    <t xml:space="preserve">            SURGICAL HOUSE                                  </t>
  </si>
  <si>
    <t xml:space="preserve">            S.S.MEDICARE                                    </t>
  </si>
  <si>
    <t xml:space="preserve">            APPASAMY OCURALAR DEVICES (P) LTD.              </t>
  </si>
  <si>
    <t xml:space="preserve">            SAI PHARMACEUTICALS                             </t>
  </si>
  <si>
    <t xml:space="preserve">            I.D.PHARMA ( JAMMU, INV )                       </t>
  </si>
  <si>
    <t xml:space="preserve">            MAHALAXMI AGENCIES                              </t>
  </si>
  <si>
    <t xml:space="preserve">            SUN PHARMACEUTICALS INDUS. LTD., ( HALOL,INV)   </t>
  </si>
  <si>
    <t xml:space="preserve">            ARCHANA DRUG HOUSE                              </t>
  </si>
  <si>
    <t xml:space="preserve">            PHARMA ASSOCIATES                               </t>
  </si>
  <si>
    <t xml:space="preserve">            ESKORT (PHARMACEUTICAL DISTRIBUTOR)             </t>
  </si>
  <si>
    <t xml:space="preserve">            FABA ASSOCIATES                                 </t>
  </si>
  <si>
    <t xml:space="preserve">            NEETA MEDICOSE                                  </t>
  </si>
  <si>
    <t xml:space="preserve">            SHREE BHAKTI TRADE CONCERN                      </t>
  </si>
  <si>
    <t xml:space="preserve">            OM ENTERPRISES                                  </t>
  </si>
  <si>
    <t xml:space="preserve">            YOGESH PHARMACEUTICALS                          </t>
  </si>
  <si>
    <t xml:space="preserve">            DHAWAN SURGICAL PVT LTD                         </t>
  </si>
  <si>
    <t xml:space="preserve">            J B ENTERPRISES                                 </t>
  </si>
  <si>
    <t xml:space="preserve">            KRISHNA AGENCY                                  </t>
  </si>
  <si>
    <t xml:space="preserve">            M S SURGICALS                                   </t>
  </si>
  <si>
    <t xml:space="preserve">            PAVAN PHARMA.                                   </t>
  </si>
  <si>
    <t xml:space="preserve">            BURHANI                                         </t>
  </si>
  <si>
    <t xml:space="preserve">            Indo Kashmir Surgical Corporation               </t>
  </si>
  <si>
    <t xml:space="preserve">            JNM ENTERPRISES                                 </t>
  </si>
  <si>
    <t xml:space="preserve">            EMIRATES AGENCIES                               </t>
  </si>
  <si>
    <t xml:space="preserve">            KRISHAL DRUGS &amp; SURGICALS                       </t>
  </si>
  <si>
    <t xml:space="preserve">            S K PHARMA                                      </t>
  </si>
  <si>
    <t xml:space="preserve">            STARCHEM PHARMA                                 </t>
  </si>
  <si>
    <t xml:space="preserve">            J S ENTERPRISES                                 </t>
  </si>
  <si>
    <t xml:space="preserve">            BILINK INTERNATIONAL INC                        </t>
  </si>
  <si>
    <t xml:space="preserve">            ESHWARI SURGICALS                               </t>
  </si>
  <si>
    <t xml:space="preserve">            SURGI MED AGENCIES                              </t>
  </si>
  <si>
    <t xml:space="preserve">            OM PHARMA                                       </t>
  </si>
  <si>
    <t xml:space="preserve">            AJAY MEDICAL STORE                              </t>
  </si>
  <si>
    <t xml:space="preserve">            FALCON INTERNATIONAL DRUG CO.,( KOCHI, INV)     </t>
  </si>
  <si>
    <t xml:space="preserve">            J S SURGICALS                                   </t>
  </si>
  <si>
    <t xml:space="preserve">            JYOTHI AGENCIES ( TIRUR, INV, KERALA )          </t>
  </si>
  <si>
    <t xml:space="preserve">            KARTHIK SURGICALS EMPORIUM ( IND, ANANTHAPUR)   </t>
  </si>
  <si>
    <t xml:space="preserve">            MILTON METALS                                   </t>
  </si>
  <si>
    <t xml:space="preserve">            NANDINI MEDICAL AGENCIES ( NSPT, INV )          </t>
  </si>
  <si>
    <t xml:space="preserve">            NEW PRANAVAM AGENCIES                           </t>
  </si>
  <si>
    <t xml:space="preserve">            SILVER DRUGS                                    </t>
  </si>
  <si>
    <t xml:space="preserve">            SHAILESH SURGICAL - AHMEDABAD                   </t>
  </si>
  <si>
    <t xml:space="preserve">            APPASAMY OCULAR DEVICES P LTD, (PHARMA DIVISION)</t>
  </si>
  <si>
    <t xml:space="preserve">            VIJAYA PHARMA                                   </t>
  </si>
  <si>
    <t xml:space="preserve">            MALABAR TRADE WINGS                             </t>
  </si>
  <si>
    <t xml:space="preserve">            V K PHARMA                                      </t>
  </si>
  <si>
    <t xml:space="preserve">            MODERN SURGICALS                                </t>
  </si>
  <si>
    <t xml:space="preserve">            TULSI ENTERPRISES                               </t>
  </si>
  <si>
    <t xml:space="preserve">            TIME ENTERPRISES                                </t>
  </si>
  <si>
    <t xml:space="preserve">            NEW INDIA SURGICAL &amp; CHEMICALS                  </t>
  </si>
  <si>
    <t xml:space="preserve">            ALBERT DAVID LTD. CALCUTTA                      </t>
  </si>
  <si>
    <t xml:space="preserve">            SURYA HEALTH CARE                               </t>
  </si>
  <si>
    <t xml:space="preserve">            Karur Vysya Bank Ltd A/C.No.1404135000006078    </t>
  </si>
  <si>
    <t xml:space="preserve">            SBI-CURRENT A/C.62263238738(Commerical Branch)  </t>
  </si>
  <si>
    <t xml:space="preserve">            SBI- IFB                                        </t>
  </si>
  <si>
    <t xml:space="preserve">            CASH A/C                                        </t>
  </si>
  <si>
    <t xml:space="preserve">            FIXED DEPOSITS                                  </t>
  </si>
  <si>
    <t xml:space="preserve">            INTEREST RECEIVABLE                             </t>
  </si>
  <si>
    <t xml:space="preserve">            TDS RECEIVABLE                                  </t>
  </si>
  <si>
    <t xml:space="preserve">            MAT CREDIT ACCCOUNT                             </t>
  </si>
  <si>
    <t xml:space="preserve">        OTHER ADVANSES                                      </t>
  </si>
  <si>
    <t xml:space="preserve">        SGST                                                </t>
  </si>
  <si>
    <t xml:space="preserve">        CGST                                                </t>
  </si>
  <si>
    <t xml:space="preserve">        IGST                                                </t>
  </si>
  <si>
    <t xml:space="preserve">        PROFESSION TAX PAYABLE                              </t>
  </si>
  <si>
    <t xml:space="preserve">        TDS PAYABLE-CONTRACTORS                             </t>
  </si>
  <si>
    <t xml:space="preserve">        TDS PAYABLE-PROF CHARGES                            </t>
  </si>
  <si>
    <t xml:space="preserve">        TDS PAYABLE-SALARIES                                </t>
  </si>
  <si>
    <t xml:space="preserve">        UN-PAID SALARIES &amp; WAGES                            </t>
  </si>
  <si>
    <t xml:space="preserve">        CONTRACT LABOUR WAGES-PAYABLE                       </t>
  </si>
  <si>
    <t xml:space="preserve">        E.S.I PAYABLE                                       </t>
  </si>
  <si>
    <t xml:space="preserve">        S.JANARDHAN REDDY (DEPOT RENT) RENT PAYABLE         </t>
  </si>
  <si>
    <t xml:space="preserve">        ELECTRICITY CHARGES - PAYABLE                       </t>
  </si>
  <si>
    <t xml:space="preserve">        P.F PAYABLE                                         </t>
  </si>
  <si>
    <t xml:space="preserve">        SALARIES PAYABLE - FACTORY                          </t>
  </si>
  <si>
    <t xml:space="preserve">        SALARIES PAYABLE - H.O                              </t>
  </si>
  <si>
    <t xml:space="preserve">        SALARIES PAYABLE - MKTG.                            </t>
  </si>
  <si>
    <t xml:space="preserve">        WAGES PAYABLE                                       </t>
  </si>
  <si>
    <t xml:space="preserve">        BONUS PAYABLE                                       </t>
  </si>
  <si>
    <t xml:space="preserve">        TELEPHONE EXPS PAYABLE                              </t>
  </si>
  <si>
    <t xml:space="preserve">        GRATUITY PAYABLE                                    </t>
  </si>
  <si>
    <t xml:space="preserve">        LEAVE ENCASHMENT PAYABLE                            </t>
  </si>
  <si>
    <t xml:space="preserve">        EMPLOYEE BENIFITS PAYABLE                           </t>
  </si>
  <si>
    <t xml:space="preserve">        TDS PAYABLE ON INTEREST                             </t>
  </si>
  <si>
    <t xml:space="preserve">        SALARIES PAYABLE - OTHERS -FACTORY                  </t>
  </si>
  <si>
    <t xml:space="preserve">        LISTING FEE PAYABLE                                 </t>
  </si>
  <si>
    <t xml:space="preserve">        LATE FILING FEE PAYABLE                             </t>
  </si>
  <si>
    <t xml:space="preserve">        INTEREST PAYABLE                                    </t>
  </si>
  <si>
    <t xml:space="preserve">    Profit &amp; Loss A/c                                       </t>
  </si>
  <si>
    <t xml:space="preserve">    Sales-Direct Invoices                                   </t>
  </si>
  <si>
    <t xml:space="preserve">    SALES-SCRAP                                             </t>
  </si>
  <si>
    <t xml:space="preserve">    INTEREST RECEIVED                                       </t>
  </si>
  <si>
    <t xml:space="preserve">    SMALL AMOUNTS WRITTEN OFF A/C                           </t>
  </si>
  <si>
    <t xml:space="preserve">    Discount Received                                       </t>
  </si>
  <si>
    <t xml:space="preserve">            PURCHASE OF RAW MATERIAL-DOMESTIC               </t>
  </si>
  <si>
    <t xml:space="preserve">            CONTRACT LABOUR WAGES                           </t>
  </si>
  <si>
    <t xml:space="preserve">            FACTORY SALARIES                                </t>
  </si>
  <si>
    <t xml:space="preserve">            FACTORY WAGES                                   </t>
  </si>
  <si>
    <t xml:space="preserve">            ESI EMPLOYER CONTRB. (FACTORY)                  </t>
  </si>
  <si>
    <t xml:space="preserve">            P.F.EMPLOYER CONT. (FACTORY)                    </t>
  </si>
  <si>
    <t xml:space="preserve">            STAFF WELFARE - FACTORY                         </t>
  </si>
  <si>
    <t xml:space="preserve">        OFFICE SALARIES                                     </t>
  </si>
  <si>
    <t xml:space="preserve">    STAFF WELFARE                                           </t>
  </si>
  <si>
    <t xml:space="preserve">        CONSUMABLES                                         </t>
  </si>
  <si>
    <t xml:space="preserve">        PACKING MATERIAL                                    </t>
  </si>
  <si>
    <t xml:space="preserve">        REPAIRS &amp; MAINTENANCE(P &amp;M)                         </t>
  </si>
  <si>
    <t xml:space="preserve">        DIESEL                                              </t>
  </si>
  <si>
    <t xml:space="preserve">        ELECTRICITY CHARGES-FACTORY                         </t>
  </si>
  <si>
    <t xml:space="preserve">        CARRIAGE INWARDS                                    </t>
  </si>
  <si>
    <t xml:space="preserve">        FACTORY MAINTENANCE                                 </t>
  </si>
  <si>
    <t xml:space="preserve">        GENERAL EXPS. - FACTORY                             </t>
  </si>
  <si>
    <t xml:space="preserve">        SECURITY CHARGES                                    </t>
  </si>
  <si>
    <t xml:space="preserve">        Component Mfrg. Expenses                            </t>
  </si>
  <si>
    <t xml:space="preserve">        DISCOUNTS - SCHMES TO C&amp;A &amp;DIRECT PARTIES(NV)       </t>
  </si>
  <si>
    <t xml:space="preserve">        FIELD STAFF EXPS (MKTG)                             </t>
  </si>
  <si>
    <t xml:space="preserve">        Fright Outward A/c                                  </t>
  </si>
  <si>
    <t xml:space="preserve">        POSTAGE , COURIER &amp; TELEGRAMS                       </t>
  </si>
  <si>
    <t xml:space="preserve">        MARKET DEVELOPMENT EXPS                             </t>
  </si>
  <si>
    <t xml:space="preserve">        MARKETING SALARIES - MANAGERS                       </t>
  </si>
  <si>
    <t xml:space="preserve">            CONVEYANCE                                      </t>
  </si>
  <si>
    <t xml:space="preserve">            TRAVELLING OTHERS                               </t>
  </si>
  <si>
    <t xml:space="preserve">            CONSULTANCY CHARGES                             </t>
  </si>
  <si>
    <t xml:space="preserve">            ELECTRICITY CHARGES - H.O                       </t>
  </si>
  <si>
    <t xml:space="preserve">            OFFICE MAINTENANCE                              </t>
  </si>
  <si>
    <t xml:space="preserve">            PRINTING &amp; STATIONERY                           </t>
  </si>
  <si>
    <t xml:space="preserve">            RATES &amp; TAXES - H.O.                            </t>
  </si>
  <si>
    <t xml:space="preserve">            TELEPHONE EXPS. ( H.O.)                         </t>
  </si>
  <si>
    <t xml:space="preserve">        BANK CHARGES                                        </t>
  </si>
  <si>
    <t xml:space="preserve"> SUNDRY CREDITORS                                           </t>
  </si>
  <si>
    <t xml:space="preserve"> </t>
  </si>
  <si>
    <t>SANGAM HEALTH CARE PRODUCTS LIMITED</t>
  </si>
  <si>
    <t>Total</t>
  </si>
  <si>
    <t>Depreciation</t>
  </si>
  <si>
    <t>Particulars</t>
  </si>
  <si>
    <t>As at</t>
  </si>
  <si>
    <t>Unsecured Loans</t>
  </si>
  <si>
    <t>Gross Block</t>
  </si>
  <si>
    <t>Net Block</t>
  </si>
  <si>
    <t>Inventories</t>
  </si>
  <si>
    <t>Other General Expenses</t>
  </si>
  <si>
    <t>cost of material consumed</t>
  </si>
  <si>
    <t>raw material consumption</t>
  </si>
  <si>
    <t>opening balance</t>
  </si>
  <si>
    <t>Add: purcahses</t>
  </si>
  <si>
    <t>Fright on purcahses</t>
  </si>
  <si>
    <t>Less: Closing stock</t>
  </si>
  <si>
    <t xml:space="preserve">                                           A</t>
  </si>
  <si>
    <t>Packing material</t>
  </si>
  <si>
    <t>Consumables</t>
  </si>
  <si>
    <t xml:space="preserve">                                        B</t>
  </si>
  <si>
    <t>particulars</t>
  </si>
  <si>
    <t>amount</t>
  </si>
  <si>
    <t>BANK INTERESTS</t>
  </si>
  <si>
    <t>Adv from custmoers</t>
  </si>
  <si>
    <t xml:space="preserve">            PRATYUSH MEDICARE-NEW                           </t>
  </si>
  <si>
    <t xml:space="preserve">            MEERA MEDICALS.                                 </t>
  </si>
  <si>
    <t xml:space="preserve">            PRACHI SUGICARE                                 </t>
  </si>
  <si>
    <t xml:space="preserve">            AGARWAL SURGICALS..                             </t>
  </si>
  <si>
    <t>OTHER OPERATING INCOME</t>
  </si>
  <si>
    <t>KARIM NAGAR EXP</t>
  </si>
  <si>
    <t>VEHICLE MAIN</t>
  </si>
  <si>
    <t>31.03.2018</t>
  </si>
  <si>
    <t>andhra bank</t>
  </si>
  <si>
    <t>EQUITY AND LIABILITIES</t>
  </si>
  <si>
    <t>Non-current liabilities</t>
  </si>
  <si>
    <t>ASSETS</t>
  </si>
  <si>
    <t>Non-current assets</t>
  </si>
  <si>
    <t>Tangible assets</t>
  </si>
  <si>
    <t>Current assets</t>
  </si>
  <si>
    <t>Chartered Accountants</t>
  </si>
  <si>
    <t>FRN : 001297S</t>
  </si>
  <si>
    <t xml:space="preserve">Place : Hyderabad </t>
  </si>
  <si>
    <t xml:space="preserve">Shares outstanding at the beginning of the year </t>
  </si>
  <si>
    <t>Shares outstanding at the end of the year</t>
  </si>
  <si>
    <t>Term loans</t>
  </si>
  <si>
    <t>Deferred payment liabilities</t>
  </si>
  <si>
    <t xml:space="preserve">Interest-free sales Tax deferal loan from state government </t>
  </si>
  <si>
    <t xml:space="preserve">  from Individuals other than banks</t>
  </si>
  <si>
    <t>Long Term Provisions</t>
  </si>
  <si>
    <t>Other Expenses Payable</t>
  </si>
  <si>
    <t>Raw Material</t>
  </si>
  <si>
    <t>Packing Material</t>
  </si>
  <si>
    <t>Work In Process</t>
  </si>
  <si>
    <t>Finished Goods</t>
  </si>
  <si>
    <t>Cash on hand</t>
  </si>
  <si>
    <t>Others</t>
  </si>
  <si>
    <t>Salaries, Wages, Bonus etc.</t>
  </si>
  <si>
    <t>Contribution to P.F, E.S.I and Other Statutory Funds</t>
  </si>
  <si>
    <t>Audit Fees</t>
  </si>
  <si>
    <t>Travelling &amp; Conveyance Expenses</t>
  </si>
  <si>
    <t>Printing &amp; Stationery</t>
  </si>
  <si>
    <t>Sri Siri Constructions</t>
  </si>
  <si>
    <t>(र)</t>
  </si>
  <si>
    <t>31.03.2017</t>
  </si>
  <si>
    <t>A. CASH FROM OPERATING ACTIVITIES</t>
  </si>
  <si>
    <t>(Loss)/Profit before tax and extraordinary items</t>
  </si>
  <si>
    <t>Adjustment for</t>
  </si>
  <si>
    <t xml:space="preserve">- Depreciation </t>
  </si>
  <si>
    <t>- Interest &amp; Financial charges</t>
  </si>
  <si>
    <t>- Interest received</t>
  </si>
  <si>
    <t>Operating Profit before Working Capital Changes</t>
  </si>
  <si>
    <t>- Trade &amp; Other receivables</t>
  </si>
  <si>
    <t>- Inventories</t>
  </si>
  <si>
    <t>- Trade &amp; others Payable</t>
  </si>
  <si>
    <t>- Short term Loans &amp; Advances</t>
  </si>
  <si>
    <t>- Short Term Borrowings &amp; Provisions</t>
  </si>
  <si>
    <t>Cash flow before Extraordinary items</t>
  </si>
  <si>
    <t>- Interest paid</t>
  </si>
  <si>
    <t>- Taxes paid</t>
  </si>
  <si>
    <t>Net Cash flow before extraordinary items</t>
  </si>
  <si>
    <t>-Extraordinary &amp; Prior period items</t>
  </si>
  <si>
    <t>NET CASH FROM OPERATING ACTIVITIES</t>
  </si>
  <si>
    <t>B. CASH FROM INVESTING ACTIVITIES:</t>
  </si>
  <si>
    <t>Purchase of Fixed Assets</t>
  </si>
  <si>
    <t>Interest Received</t>
  </si>
  <si>
    <t>Long Term Loans &amp; Advances</t>
  </si>
  <si>
    <t>NET CASH FROM INVESTING ACTIVITIES</t>
  </si>
  <si>
    <t>C. CASH FLOW FROM FINANCING ACTIVITIES</t>
  </si>
  <si>
    <t>Proceeds from Long Term Borrowings</t>
  </si>
  <si>
    <t>NET CASH FROM FINANCING ACTIVITIES</t>
  </si>
  <si>
    <t>NET INCREASE IN CASH &amp; CASH EQUIVALENTS</t>
  </si>
  <si>
    <t xml:space="preserve">Opening Cash and cash equivalents </t>
  </si>
  <si>
    <t>Closing Cash and Cash equivalents</t>
  </si>
  <si>
    <t>As per our report of even date</t>
  </si>
  <si>
    <t xml:space="preserve">         For and on behalf of the Board of Directors</t>
  </si>
  <si>
    <t>for JAYANT &amp; SADASHIV</t>
  </si>
  <si>
    <t>Jayant Palnitkar                                    BalaGopal Addepalli     Padma Ghanakota        V.Satish Kumar</t>
  </si>
  <si>
    <t>Partner                                                        Managing Director             Director                              C.F.O</t>
  </si>
  <si>
    <t xml:space="preserve">Membership No: 020851                           DIN No.01712903       DIN No.07078176     PAN No: ACLPV7670E </t>
  </si>
  <si>
    <t>Asset</t>
  </si>
  <si>
    <t>Additions</t>
  </si>
  <si>
    <t>Deletions/</t>
  </si>
  <si>
    <t>For the</t>
  </si>
  <si>
    <t xml:space="preserve">As at </t>
  </si>
  <si>
    <t xml:space="preserve"> Adjustments</t>
  </si>
  <si>
    <t>year</t>
  </si>
  <si>
    <t>Land</t>
  </si>
  <si>
    <t>Buildings</t>
  </si>
  <si>
    <t>Plant &amp; Machinery</t>
  </si>
  <si>
    <t>Electrical Installations</t>
  </si>
  <si>
    <t>Lab Equipments</t>
  </si>
  <si>
    <t>Computers</t>
  </si>
  <si>
    <t>Office Equipment</t>
  </si>
  <si>
    <t>Furniture &amp; Fixtures</t>
  </si>
  <si>
    <t>Vehicles</t>
  </si>
  <si>
    <t>Previous Year</t>
  </si>
  <si>
    <t xml:space="preserve">        LOANS FROM PROMOTERS                           </t>
  </si>
  <si>
    <t>SECURITY DEPOSIT</t>
  </si>
  <si>
    <t>APSEB DEPOSIT</t>
  </si>
  <si>
    <t>interest &amp; processing fee paybale-kotak</t>
  </si>
  <si>
    <t xml:space="preserve">            I.D.PHARMA(Pharmaceutical Distributors)         </t>
  </si>
  <si>
    <t xml:space="preserve">            BIMLA MEDICAL AGENCY                            </t>
  </si>
  <si>
    <t xml:space="preserve">            K-LIFE HEALTHCARE.                              </t>
  </si>
  <si>
    <t xml:space="preserve">            KOTAK BANK-KNR-6912456133                       </t>
  </si>
  <si>
    <t>Director remuneration payable</t>
  </si>
  <si>
    <t>field staff payable</t>
  </si>
  <si>
    <t>interest on W C</t>
  </si>
  <si>
    <t>kotak bank-356</t>
  </si>
  <si>
    <t>CIN NO- L24230TG1993PLC016731</t>
  </si>
  <si>
    <t>(Amt. in Rs.)</t>
  </si>
  <si>
    <t>Note
No.</t>
  </si>
  <si>
    <t>As at March 31, 2018</t>
  </si>
  <si>
    <t xml:space="preserve">I   </t>
  </si>
  <si>
    <t xml:space="preserve">    Total non-current assets (A)</t>
  </si>
  <si>
    <t xml:space="preserve">    Total current assets (B)</t>
  </si>
  <si>
    <t xml:space="preserve">II   </t>
  </si>
  <si>
    <t>Equity</t>
  </si>
  <si>
    <t xml:space="preserve">    Total equity (A)</t>
  </si>
  <si>
    <t>Liabilities</t>
  </si>
  <si>
    <t>(i)</t>
  </si>
  <si>
    <t xml:space="preserve">    Total non-current liabilities (B)</t>
  </si>
  <si>
    <t>(ii)</t>
  </si>
  <si>
    <t xml:space="preserve">    Total equity and liabilities (A+D)</t>
  </si>
  <si>
    <t>The notes are an integral part of the financial statements</t>
  </si>
  <si>
    <t>1-2</t>
  </si>
  <si>
    <t>As per our Report of even date</t>
  </si>
  <si>
    <t>For K.R Shekher &amp; Co.,</t>
  </si>
  <si>
    <t>For and on behalf of the Board of Directors</t>
  </si>
  <si>
    <t>Firm Reg No:010828S</t>
  </si>
  <si>
    <t>Rajashekhar Kaparti</t>
  </si>
  <si>
    <t>BalaGopal Addepalli</t>
  </si>
  <si>
    <t>V.Satish Kumar</t>
  </si>
  <si>
    <t>Partner</t>
  </si>
  <si>
    <t>Director</t>
  </si>
  <si>
    <t>C.F.O</t>
  </si>
  <si>
    <t>Membership No: 214810</t>
  </si>
  <si>
    <t>DIN No.01712903</t>
  </si>
  <si>
    <t>PAN: ACLPV7670E</t>
  </si>
  <si>
    <t>Place: Hyderabad</t>
  </si>
  <si>
    <t xml:space="preserve">      Total income</t>
  </si>
  <si>
    <t>Expenses</t>
  </si>
  <si>
    <t xml:space="preserve">      (c) Other expenses</t>
  </si>
  <si>
    <t>Tax expense :</t>
  </si>
  <si>
    <t xml:space="preserve">          a. Current tax</t>
  </si>
  <si>
    <t xml:space="preserve">          b. Deferred tax</t>
  </si>
  <si>
    <t>Other comprehensive income</t>
  </si>
  <si>
    <t>a. Equity share capital</t>
  </si>
  <si>
    <t>No of shares</t>
  </si>
  <si>
    <t xml:space="preserve">Amount </t>
  </si>
  <si>
    <t xml:space="preserve">Shares issued during the year </t>
  </si>
  <si>
    <t>b.Other equity</t>
  </si>
  <si>
    <t>Reserves&amp;Surplus</t>
  </si>
  <si>
    <t>Other items of other comprehensive income</t>
  </si>
  <si>
    <t>Retained Earnings</t>
  </si>
  <si>
    <t xml:space="preserve"> Remeasurement of net defined benefit </t>
  </si>
  <si>
    <t>Profit for the year</t>
  </si>
  <si>
    <t>Other comprehensive income (net of tax)</t>
  </si>
  <si>
    <t xml:space="preserve">Notes annexed to and forming part of the Financial Statements </t>
  </si>
  <si>
    <t>Note 1 : Background</t>
  </si>
  <si>
    <t>Note 2 : Significant Accounting Policies</t>
  </si>
  <si>
    <t>This note provides a list of the significant accounting policies adopted in the preparation of these financial statements. These policies have been consistently applied to all the years presented, unless otherwise stated.</t>
  </si>
  <si>
    <t>Compliance with Ind AS</t>
  </si>
  <si>
    <t>The financial statements comply in all material aspects with Indian Accounting Standards (Ind AS) notified under Section 133 of the Companies Act, 2013 (the Act) [Companies (Indian Accounting Standards) Rules, 2015, and Companies (Indian Accounting Standards) Amendment Rules, 2016] and other relevant provisions of the Act.</t>
  </si>
  <si>
    <t>Note 2.1 : Basis of Preparation of financial statements</t>
  </si>
  <si>
    <t>The financial statements have been prepared in accordance with the historical cost convention  and presented in INR.</t>
  </si>
  <si>
    <t>The financial statements have been prepared in accordance with Indian Accounting Standards (Ind AS) notified under section 133 of the Companies Act, 2013. The financial statements have also been prepared in accordance with the relevant presentation requirements of the Companies Act, 2013. The Company adopted Ind AS from 1st April, 2017.</t>
  </si>
  <si>
    <t>Note 2.2 : Use of estimates, assumptions and judgements</t>
  </si>
  <si>
    <t>The preparation of financial statements in conformity with Ind AS  requires management of the Company to make estimates and assumptions and judgements that affect the reported amounts of assets and liabilities and disclosure of contingent assets and liabilities at the date of the financial statements and the results of operations during the reporting periods. Although these estimates are based upon management’s best knowledge of current events and actions, actual results could differ from those estimates. Examples of such estimates include future obligations under employee retirement benefit plans, recognition of deferred tax assets and useful lives of fixed assets. Any revision to accounting estimates is recognized prospectively in the current and future periods.</t>
  </si>
  <si>
    <t xml:space="preserve">Note 2.3 : Revenue recognition </t>
  </si>
  <si>
    <t>a) Revenue from the sale of Medical Products is recognised on the basis of the number of units of products sold undertaken with Sundry debtors at the rates prevailing on the date of export as determined by the  agreement/feed-in-tariff policy/market rates as applicable less the wheeling and banking charges applicable if any.</t>
  </si>
  <si>
    <t>Claims for delayed payment charges and other claims, if any, in which the company is entitled is accounted only when there is no uncertainty associated with the collectability of the claims.</t>
  </si>
  <si>
    <t>(b ) Insurance claims are recognized as and when the claims are received from the Insurer.</t>
  </si>
  <si>
    <t>(c) Interest income is recognized in the year in which it is accrued and stated at gross using effective interest rate method.</t>
  </si>
  <si>
    <t xml:space="preserve">Note 2.4 : Property, Plant and Equipment </t>
  </si>
  <si>
    <t xml:space="preserve">Property, plant and equipment is stated at historical cost less accumulated depreciation and any impairment in value. Freehold land is not depreciated. Historical cost includes expenditure that is directly attributable to the acquisition of the items and borrowing cost. Subsequent costs are included in the asset’s carrying amount or recognised as a separate asset, as appropriate, only when it is probable that future economic benefits associated with them will flow to the Company and the cost of the item can be measured reliably. All repairs and maintenance expenditure are charged to profit and loss during the period in which they are incurred. </t>
  </si>
  <si>
    <t xml:space="preserve">Depreciation is provided on the basis of straight line method and charged over useful life as per the manner prescribed in Schedule II to the Companies Act, 2013. </t>
  </si>
  <si>
    <t>When parts of an item of property, plant and equipment have different useful lives, they are accounted for as separate items (major components) of property, plant and equipment.</t>
  </si>
  <si>
    <t>An item of property, plant and equipment is derecognised upon disposal or when no future economic benefit is expected to arise from the continued use of the asset. Any gain or loss arising on de-recognition of the asset (calculated as the difference between the net disposal proceeds and the carrying amount of the item) is recognised in profit and loss in the period the item is derecognised.</t>
  </si>
  <si>
    <t xml:space="preserve">Useful lives and residual values are reviewed at each reporting date and adjusted if appropriate. </t>
  </si>
  <si>
    <t>Note 2.5 : Equity instruments</t>
  </si>
  <si>
    <t>An equity instrument is any contract that evidences a residual interest in the assets of an entity after deducting all of its liabilities. Equity instruments issued by the Company is recognised at the proceeds, net of direct costs of the capital issue.</t>
  </si>
  <si>
    <t>Note 2.6 : Financial assets</t>
  </si>
  <si>
    <t>The Company recognises a financial asset (including investments, trade receivables, loans and advances) at transaction price when it becomes a party to the contractual obligations. The Company assesses at each reporting date whether there is objective evidence that a financial asset or a group of financial assets is impaired. Financial assets are tested for impairment based on the expected credit losses.</t>
  </si>
  <si>
    <t>Financial assets are derecognised when the right to receive cash flows from the investments have expired or have been transferred and the Company has transferred substantially all risks and rewards of ownership of the asset to another entity. On de-recognition of a financial asset the difference between the carrying amount and the consideration received is recognised in the statement of profit and loss.</t>
  </si>
  <si>
    <t>Expcted credit loss</t>
  </si>
  <si>
    <t>Expected credit losses are assessed based on an evaluation of the collectability of receivables. A considerable amount of judgment is required in assessing the ultimate realization of these receivables, including their current creditworthiness, past collection history of each customer and ongoing dealings with them. If the financial conditions of the counterparties with which the Company contracted were to deteriorate, resulting in an impairment of their ability to make payments, additional expected credit loss may be required.</t>
  </si>
  <si>
    <t>(i) Trade Receivables</t>
  </si>
  <si>
    <t>An impairment analysis is performed at each reporting date. The expected credit losses over life time of the asset are estimated by adopting the simplified approach using a provision matrix which is based on historical loss rates reflecting current condition and forecasts of future economic conditions. In this approach assets are grouped on the basis of similar credit characteristics such as industry, customer segment, past due status and other factors which are relevant to estimate the expected cash loss from these assets.</t>
  </si>
  <si>
    <t>(ii) Other financial assets</t>
  </si>
  <si>
    <t>Other financial assets are tested for impairment based on significant change in credit risk since initial recognition and impairment is measured based on probability of default over the life time when there is significant increase in credit risk.</t>
  </si>
  <si>
    <t xml:space="preserve">Note 2.7 : Financial liabilities </t>
  </si>
  <si>
    <t>Financial liabilities (including borrowings, other financial liabilities and trade and other payables) are initially recognized at the value of respective contractual obligations and subsequently measured at amortised cost .</t>
  </si>
  <si>
    <t>Financial liabilities are derecognized when the Company’s obligations are discharged, cancelled or expired. The difference between the carrying amount of the financial liability derecognised and the consideration paid and payable is recognised in the statement of profit and loss.</t>
  </si>
  <si>
    <t>Note 2.8 : Impairment of non-financial assets</t>
  </si>
  <si>
    <t xml:space="preserve">Assets that are subject to depreciation and amortization are reviewed for impairment whenever events or changes in circumstances indicate that the carrying amount may not be recoverable. An impairment loss is recognised for the amount by which the asset’s carrying amount exceeds its recoverable amount. The recoverable amount is the higher of an asset’s fair value less costs to sell and value in use. For the purposes of assessing impairment, assets are grouped at the lowest levels for which there are separately identifiable cash flows (cash-generating units). Value-in-use is based on the estimated future cash flows, discounted to their present value using a pre-tax discount rate that reflects current market assessment of the time value of the money and risk specific to the asset or CGU. </t>
  </si>
  <si>
    <t>Note 2.9 : Borrowing costs</t>
  </si>
  <si>
    <t>Borrowing costs directly attributable to acquisition, construction or production of an asset that necessarily takes substantial period of time to get ready for its intended use are also included as part of the cost of such assets to the extent they relate to the period till such assets are ready to be put to use. All other borrowing costs are recognized as expense in the year which they are incurred and charged to statement of Profit and Loss.</t>
  </si>
  <si>
    <t>Note 2.10 : Inventories</t>
  </si>
  <si>
    <t>Stores and spares, consumables are stated at cost or below.  Cost is determined on weighted average basis and includes all applicable costs incurred in bringing goods to their present location and condition.</t>
  </si>
  <si>
    <t>Note 2.11 : Employee Benefit</t>
  </si>
  <si>
    <t>Provident fund</t>
  </si>
  <si>
    <t xml:space="preserve">Retirement benefit in the form of provident fund is a defined contribution scheme and the contribution are charged to the Statement of Profit and Loss  of the year when the contribution to the respective funds is due. There are no other obligations other than the contribution payable to the respective authorities. </t>
  </si>
  <si>
    <t>Gratuity</t>
  </si>
  <si>
    <t>Gratuity is a post employment defined benefit plan. The liability recognized in the balance sheet represents the present value of the defined benefit obligation at the balance sheet date, together with adjustments for past service costs. An independent actuary using the projected unit credit method calculates the defined benefit obligation annually. Gains and losses through re-measurements of the net defined benefit liability/(asset) are recognized in Other Comprehensive Income (OCI).</t>
  </si>
  <si>
    <t>Compensated absences</t>
  </si>
  <si>
    <t xml:space="preserve">Compensated absences are provided for based on  actuarial valuation. The actuarial valuation is done as per projected unit credit method. </t>
  </si>
  <si>
    <t>Actuarial gains or losses arising from experience adjustments and changes in actuarial assumptions are credited or charged to the statement of profit and loss in the year in which such gains or losses arises.</t>
  </si>
  <si>
    <t>Note 2.12 : Taxes on income</t>
  </si>
  <si>
    <t>Current tax</t>
  </si>
  <si>
    <t xml:space="preserve">Current tax is measured at the amount expected to be paid to the tax authorities in accordance with The Income Tax Act, 1961 of India. </t>
  </si>
  <si>
    <t>Deferred tax</t>
  </si>
  <si>
    <t>Deferred tax charge or credit reflects the tax effect of timing differences between accounting income and taxable income for the period. The deferred tax charge or credit and the corresponding deferred tax liabilities or assets are recognized using the tax rates that have been enacted or substantively enacted by the balance sheet date. Deferred tax assets are recognized only to the extent there is reasonable certainty that the assets can be realized in future; however, where there is unabsorbed depreciation or carried forward loss under taxation laws, deferred tax assets are recognized only if there is a virtual certainty of realization of such assets. Deferred tax assets are reviewed at each balance sheet date and written down or written-up to reflect the amount that is reasonably / virtually certain (as the case may be) to be realized.</t>
  </si>
  <si>
    <t>Note 2.13 : Earnings per share</t>
  </si>
  <si>
    <t>Basic earnings per share are calculated by dividing the net profit / (loss) for the year attributable to equity shareholders by the weighted average number of equity shares outstanding during the year. For the purpose of calculating diluted earnings per share, the net profit or loss for the period attributable to equity shareholders and the weighted average number of shares outstanding during the period are adjusted for the effects of all dilutive potential equity shares.</t>
  </si>
  <si>
    <t>Note 2.14 : Cash and cash equivalents</t>
  </si>
  <si>
    <t>Cash and cash equivalents include cash on hand and at bank, and short-term deposits with an original maturity period of three months or less.</t>
  </si>
  <si>
    <t>Provisions are recognised when the Company has a present obligation (legal or constructive) as a result of a past event, it is probable that an outflow of resources embodying economic benefits will be required to settle the obligation, and a reliable estimate can be made of the amount of the obligation. The expense relating to any provision is presented in the statement of profit and loss net of any reimbursement. If the effect of the time value of money is material, provisions are determined by discounting the expected future cash flows at a pre-tax rate that reflects current market assessments of the time value of money and, where appropriate, the risks specific to the liability. Where discounting is used, the increase in the provision due to the passage of time is recognised as other finance expense.</t>
  </si>
  <si>
    <t>A contingent liability is a possible obligation that arises from past events whose existence will be confirmed by the occurrence or non-occurrence of one or more uncertain future events beyond the control of the Company or a present obligation that Is not recognized because it is not probable that an outflow of resources will be required to settle the obligation. A contingent liability also arises in extremely rare cases where there is a liability that cannot be recognized because it cannot be measures reliably. The Company does not recognize a contingent liability but discloses its existence in the financial statements.</t>
  </si>
  <si>
    <t>Current</t>
  </si>
  <si>
    <t>Borrowings</t>
  </si>
  <si>
    <t>Secured</t>
  </si>
  <si>
    <t>From banks</t>
  </si>
  <si>
    <t>L.S.Patil</t>
  </si>
  <si>
    <t>Trade payables</t>
  </si>
  <si>
    <t>Dues to Micro, Small and Medium Enterprises</t>
  </si>
  <si>
    <t xml:space="preserve">Dues to other than Micro, Small and Medium Enterprises </t>
  </si>
  <si>
    <t>Note 11.2 :</t>
  </si>
  <si>
    <t>10 . Tangible Assets</t>
  </si>
  <si>
    <t>Amount in Rs.</t>
  </si>
  <si>
    <t>Authorised</t>
  </si>
  <si>
    <t>Equity shares of Rs. 10 each</t>
  </si>
  <si>
    <t>Issued</t>
  </si>
  <si>
    <t>Subscribed and Paid-up</t>
  </si>
  <si>
    <t>Equity shares of Rs. 10 each fully paid-up</t>
  </si>
  <si>
    <t>b.</t>
  </si>
  <si>
    <t>Reconciliation of the number of equity shares outstanding and the amount of share capital</t>
  </si>
  <si>
    <t>No. of Shares</t>
  </si>
  <si>
    <t>c.</t>
  </si>
  <si>
    <t>Terms / rights attached to equity Shares</t>
  </si>
  <si>
    <t>d.</t>
  </si>
  <si>
    <t>Shares in the company held by each shareholder holding more than 5 percent</t>
  </si>
  <si>
    <t xml:space="preserve">Name of the Shareholder </t>
  </si>
  <si>
    <t>No. of Shares held</t>
  </si>
  <si>
    <t xml:space="preserve">% of Holding </t>
  </si>
  <si>
    <t>*Includes 10 Equity shares of Rs. 10 each fully paid up held by nominee.</t>
  </si>
  <si>
    <t>Retained earnings</t>
  </si>
  <si>
    <t>Balance at the end of the year</t>
  </si>
  <si>
    <t>31.03.18</t>
  </si>
  <si>
    <t xml:space="preserve">            Sri Lakshmi Enterprises(New)                    </t>
  </si>
  <si>
    <t>opening stock-rm</t>
  </si>
  <si>
    <t>closing stock -rm</t>
  </si>
  <si>
    <t>opening stock-pm</t>
  </si>
  <si>
    <t>closing stock-pm</t>
  </si>
  <si>
    <t>opening stock-consumbles</t>
  </si>
  <si>
    <t>closing stock-Consumbles</t>
  </si>
  <si>
    <t>opening stock-WIP</t>
  </si>
  <si>
    <t>Closing stock-WIP</t>
  </si>
  <si>
    <t>opening stock-FG</t>
  </si>
  <si>
    <t>Closing stock-FG</t>
  </si>
  <si>
    <t xml:space="preserve">            MS PASE MEDY SOLUTIONS                          </t>
  </si>
  <si>
    <t xml:space="preserve">            SALAI SURGICALS                                 </t>
  </si>
  <si>
    <t>other interests</t>
  </si>
  <si>
    <t>kotak bank 295</t>
  </si>
  <si>
    <t>CASH FLOW STATEMENT FOR THE YEAR ENDED 30st Sep,18</t>
  </si>
  <si>
    <t>Working Capital</t>
  </si>
  <si>
    <t xml:space="preserve">            R M SUGICALS                                    </t>
  </si>
  <si>
    <t xml:space="preserve">            SHREE HANU ENTERPRISES                          </t>
  </si>
  <si>
    <t xml:space="preserve">            Sri Ambal Agencies                              </t>
  </si>
  <si>
    <t xml:space="preserve">            Sakthi Pharma Surgical                          </t>
  </si>
  <si>
    <t xml:space="preserve">            TRIPLE S ENTERPRISES,                           </t>
  </si>
  <si>
    <t xml:space="preserve">            INDIAN PHARMA DISTRIBUTORS.                     </t>
  </si>
  <si>
    <t xml:space="preserve">            SUN PHARMACEUTICAL INDUSTRIES LTD               </t>
  </si>
  <si>
    <t xml:space="preserve">            A.K.Pharmaceuticals                             </t>
  </si>
  <si>
    <t xml:space="preserve">            FRIENDS &amp; CO.                                   </t>
  </si>
  <si>
    <t>DIFFERED TAX LIABILITY</t>
  </si>
  <si>
    <t>31.03.19</t>
  </si>
  <si>
    <t>Permanent Account Number</t>
  </si>
  <si>
    <t>AADCS4069F</t>
  </si>
  <si>
    <t>Name of the Assessee</t>
  </si>
  <si>
    <t>Address</t>
  </si>
  <si>
    <t xml:space="preserve">#205&amp;206,Amarchand Sharma Complex, </t>
  </si>
  <si>
    <t>S P Road, Secunderabad-2</t>
  </si>
  <si>
    <t>Assessment year</t>
  </si>
  <si>
    <t>2018-19</t>
  </si>
  <si>
    <t>Date of Incorporation</t>
  </si>
  <si>
    <t>Status</t>
  </si>
  <si>
    <t>Public Company</t>
  </si>
  <si>
    <t>I</t>
  </si>
  <si>
    <t>Income from Business</t>
  </si>
  <si>
    <t>Net Profit as per Profit &amp; Loss Account</t>
  </si>
  <si>
    <t>Less :</t>
  </si>
  <si>
    <t xml:space="preserve">Loss of previous year </t>
  </si>
  <si>
    <t>Less:</t>
  </si>
  <si>
    <t>Depreciation as per Income Tax Act</t>
  </si>
  <si>
    <t>Total income Rs.</t>
  </si>
  <si>
    <t>Rounded Off to Rs.</t>
  </si>
  <si>
    <t>Tax on total income of Rs.</t>
  </si>
  <si>
    <t>Add:</t>
  </si>
  <si>
    <t>Education Cess @ 3%</t>
  </si>
  <si>
    <t>Tax Deducted at Source from</t>
  </si>
  <si>
    <t>a) Central Power Distribution of AP Ltd</t>
  </si>
  <si>
    <t>Tax Collected at Source from</t>
  </si>
  <si>
    <t>Bohler-Uddeholm India Private Ltd</t>
  </si>
  <si>
    <t>Mat Credit Adjustment</t>
  </si>
  <si>
    <t>Interest U/s 234B</t>
  </si>
  <si>
    <t>Interest U/s 234C</t>
  </si>
  <si>
    <t>Tax Payable Rs.</t>
  </si>
  <si>
    <t>Profit before tax as per Company Books</t>
  </si>
  <si>
    <t>Depreciation as per companies act</t>
  </si>
  <si>
    <t>a) Depreciation as per companies act</t>
  </si>
  <si>
    <t>b) Adjustment of Carry forward of depreciation or loss</t>
  </si>
  <si>
    <t>1)</t>
  </si>
  <si>
    <t>carry forward depreciation</t>
  </si>
  <si>
    <t>2)</t>
  </si>
  <si>
    <t>carry forward Business loss</t>
  </si>
  <si>
    <t>Tax payable of Rs.</t>
  </si>
  <si>
    <t>2019-20</t>
  </si>
  <si>
    <t>Particulars of total income for the year ended 31st March, 2019</t>
  </si>
  <si>
    <t>G.PADMA</t>
  </si>
  <si>
    <t xml:space="preserve"> G.RAMANA</t>
  </si>
  <si>
    <t>BHAGAT REDDY</t>
  </si>
  <si>
    <t>D.V.S TEJA KRISHNA</t>
  </si>
  <si>
    <t>SASWATA GUPTA</t>
  </si>
  <si>
    <t>D.V.S SHARMA &amp; GHNANAKOTA RAMANA</t>
  </si>
  <si>
    <t>Depreciation For the</t>
  </si>
  <si>
    <t>Eletrical equipments</t>
  </si>
  <si>
    <t>APPENDIX I</t>
  </si>
  <si>
    <t>Calculation of Deferred Taxes</t>
  </si>
  <si>
    <t>Assumptions:</t>
  </si>
  <si>
    <t>Description</t>
  </si>
  <si>
    <t xml:space="preserve">Financial </t>
  </si>
  <si>
    <t>Tax Balance</t>
  </si>
  <si>
    <t xml:space="preserve">Permanent </t>
  </si>
  <si>
    <t xml:space="preserve">Timing </t>
  </si>
  <si>
    <t>Defferreed Tax</t>
  </si>
  <si>
    <t>Defferred Tax</t>
  </si>
  <si>
    <t>Balance Sheet</t>
  </si>
  <si>
    <t>Sheet</t>
  </si>
  <si>
    <t>Difference</t>
  </si>
  <si>
    <t>Assets</t>
  </si>
  <si>
    <t>Fixed Assets ( Gross )</t>
  </si>
  <si>
    <t>Less : Depreciation</t>
  </si>
  <si>
    <t>Fixed Assets ( Net )</t>
  </si>
  <si>
    <t>Invvestments ( At Cost )</t>
  </si>
  <si>
    <t>Calculation of Deferred Tax for the current year</t>
  </si>
  <si>
    <t>Depreciation as per I.T Act, 1961</t>
  </si>
  <si>
    <t>Effective Tax rate i.e. @ 26%</t>
  </si>
  <si>
    <t xml:space="preserve">Therefore, Deferred Tax Liabilty for the F.Y. 2018-19 is </t>
  </si>
  <si>
    <t>Effective tax rate is 26%</t>
  </si>
  <si>
    <t>Depreciation as per Companies Act, 2013</t>
  </si>
  <si>
    <t>Advance From Ramraj on sale of land</t>
  </si>
  <si>
    <t>As at March 31, 2019</t>
  </si>
  <si>
    <t>a.</t>
  </si>
  <si>
    <t xml:space="preserve">Deprecation as per Income Tax for the year ended 31st March, 2019 </t>
  </si>
  <si>
    <t>31.03.2019</t>
  </si>
  <si>
    <t>Tax Refundable Rs.</t>
  </si>
  <si>
    <t>Up to the year ended 31st March, 2017, the Company prepared its financial statements in accordance with the requirements of previous Generally Accepted Accounting Principles (Previous GAAP), which includes Standards notified under the Companies (Accounting Standards) Rules, 2014.</t>
  </si>
  <si>
    <t xml:space="preserve"> A.BALAGOPAL</t>
  </si>
  <si>
    <t>D.V.S. Krishna Teja</t>
  </si>
  <si>
    <t>DIN No.0707683</t>
  </si>
  <si>
    <t>Managing Director</t>
  </si>
  <si>
    <t>Amount</t>
  </si>
  <si>
    <t xml:space="preserve">INCENTIVES PAYABLE - MARKETING STAFF </t>
  </si>
  <si>
    <t xml:space="preserve">UN-PAID SALARIES &amp; WAGES </t>
  </si>
  <si>
    <t xml:space="preserve">EMPLOYEE BENIFITS PAYABLE </t>
  </si>
  <si>
    <t xml:space="preserve">LATE FILING FEE PAYABLE     </t>
  </si>
  <si>
    <t xml:space="preserve">S.JANARDHAN REDDY (DEPOT RENT) RENT PAYABLE         </t>
  </si>
  <si>
    <t xml:space="preserve"> IX. </t>
  </si>
  <si>
    <t>X.</t>
  </si>
  <si>
    <t>Subdry Debtors</t>
  </si>
  <si>
    <t>Advances From Customers</t>
  </si>
  <si>
    <t>Less Than Six Months</t>
  </si>
  <si>
    <t>More than Six months</t>
  </si>
  <si>
    <t>DR.D.V.S.SHARMA</t>
  </si>
  <si>
    <t>Dr.Sharma</t>
  </si>
  <si>
    <t>DTL</t>
  </si>
  <si>
    <t>Liability-19</t>
  </si>
  <si>
    <t>Liability-18</t>
  </si>
  <si>
    <t xml:space="preserve">Reversal of Defferred </t>
  </si>
  <si>
    <t>Tax Liabilities</t>
  </si>
  <si>
    <t>/ Defferred Tax Asset</t>
  </si>
  <si>
    <t>Note 2.16 : Provisions and contingent liabilities</t>
  </si>
  <si>
    <t>Note :</t>
  </si>
  <si>
    <t xml:space="preserve">Add : </t>
  </si>
  <si>
    <t>Expenses disallowed U/s 43B</t>
  </si>
  <si>
    <t>Employer contirbution of provident fund</t>
  </si>
  <si>
    <t>Employer contirbution of employee state insurance</t>
  </si>
  <si>
    <t>Expenses disallowed U/s 40A(3)</t>
  </si>
  <si>
    <t>Cash expenses paid in cash above Rs. 10000/-</t>
  </si>
  <si>
    <t>Based on  the nature of liability the outstanding liabilities are re-classified as current liabilities beacause they are payable on demand.</t>
  </si>
  <si>
    <t>Cash Transactions</t>
  </si>
  <si>
    <t>a) A Balagopal</t>
  </si>
  <si>
    <t>Cash Payments</t>
  </si>
  <si>
    <t>Cash Recipts</t>
  </si>
  <si>
    <t xml:space="preserve"> Short Term Borrowings &amp; Provisions</t>
  </si>
  <si>
    <t>Siri Constructions</t>
  </si>
  <si>
    <t>Advance from ramaraj (sale of land)</t>
  </si>
  <si>
    <t>KOTAK BANK-KNR-6912456133</t>
  </si>
  <si>
    <t>Karur Vysya Bank Ltd A/C.No.1404135000006078</t>
  </si>
  <si>
    <t xml:space="preserve">SBI-CURRENT A/C.62263238738(Commerical Branch)  </t>
  </si>
  <si>
    <t>SBI- IFB</t>
  </si>
  <si>
    <t>As at March 31, 2017</t>
  </si>
  <si>
    <t>A Balagopal</t>
  </si>
  <si>
    <t>Laon A/C</t>
  </si>
  <si>
    <t>Advances from balagopal as customer</t>
  </si>
  <si>
    <t>Sri Siri constructions</t>
  </si>
  <si>
    <t>Cash transctions (Net)</t>
  </si>
  <si>
    <t>this amount adjusted to long outstanding Debtors and added Advances from customers</t>
  </si>
  <si>
    <t>Adjusted by balagopal net</t>
  </si>
  <si>
    <t xml:space="preserve"> Equity share capital</t>
  </si>
  <si>
    <t>Writte off of TDS Recivable</t>
  </si>
  <si>
    <t>Names of related parties and description of relationship:</t>
  </si>
  <si>
    <t>Name of the Preson/Firm</t>
  </si>
  <si>
    <t>Description of Relationship</t>
  </si>
  <si>
    <t>Director as Partner</t>
  </si>
  <si>
    <t>Sri Sai Gravure Prints</t>
  </si>
  <si>
    <t>Sri Sai Health Care</t>
  </si>
  <si>
    <t>V . Satish Kumar</t>
  </si>
  <si>
    <t>CFO</t>
  </si>
  <si>
    <t>G Padma</t>
  </si>
  <si>
    <t>A.Bala Gopal</t>
  </si>
  <si>
    <t>Direct or indirect subsidiaries of ultimate holding company with which transactions have taken place</t>
  </si>
  <si>
    <t>Particulars of transactions</t>
  </si>
  <si>
    <t xml:space="preserve">Year ended </t>
  </si>
  <si>
    <t>Loan taken</t>
  </si>
  <si>
    <t>Loan repaid</t>
  </si>
  <si>
    <t>Balance payable</t>
  </si>
  <si>
    <t>Opening Balance</t>
  </si>
  <si>
    <t>Nominal Value of Equity Shares (Rupees per Share fully paid-up)</t>
  </si>
  <si>
    <t>Profit after Tax (in Rs.)</t>
  </si>
  <si>
    <t>Weighted average number of Equity shares outstanding during the year</t>
  </si>
  <si>
    <t>The Company’s activities expose it to a variety of financial risks; market risk, credit risk and liquidity risk. The Company’s overall risk management programme focuses to minimise potential adverse effects on the Company’s financial performance. The financial instruments of the Company comprise borrowings from banks/other lenders, cash and cash equivalents, bank deposits, trade receivables and other assets, trade payables and other financial liabilities and payable.</t>
  </si>
  <si>
    <t>Market risk</t>
  </si>
  <si>
    <t xml:space="preserve">Market risk is the risk that the fair values of future cash flows of a financial instrument will fluctuate because of volatility of prices in the financial markets. Market risk can be further segregated into a) Foreign exchange risk and b) Interest rate risk
</t>
  </si>
  <si>
    <t xml:space="preserve">Foreign exchange risk is the risk that the fair value or future cash flows of a financial instrument will fluctuate because of changes in foreign exchange rates. The Company has no significant transactions in foreign currency, hence there are no foreign currency exchange risks.
</t>
  </si>
  <si>
    <t>b) Interest rate risk</t>
  </si>
  <si>
    <t>Interest rate risk is the risk that the fair value or future cash flows of a financial instrument will fluctuate because of changes in market interest rates. As the Company has no significant interest-bearing assets other than investment in bank deposits. The Company’s income and operating cash flows are substantially independent of changes in market interest rates.</t>
  </si>
  <si>
    <t xml:space="preserve">As the Company’s borrowing carries fixed rate of interest and these debts are carried at amortised cost, there is no interest rate risk to the Company. </t>
  </si>
  <si>
    <t>c) Credit risk</t>
  </si>
  <si>
    <t xml:space="preserve">Credit risk is the risk that a counter-party will not meet its obligations under a financial instrument or customer contract, leading to a financial loss. The Company’s credit risk arises from accounts receivable balances on sales to customers.
</t>
  </si>
  <si>
    <t>Company’s revenue is derived from sales to state owned utilities under long-term power purchase agreements, hence potential risk of default is predominantly a governmental one.</t>
  </si>
  <si>
    <t xml:space="preserve">The company maintain banking relationships with only credit worthy banks, which it reviews on an ongoing basis.
</t>
  </si>
  <si>
    <t>The maximum exposure to credit risk for bank deposits and bank balances at the reporting date is the fair value of the amount disclosed in Note.7.2</t>
  </si>
  <si>
    <t xml:space="preserve">Trade receivables that are due for more than one month are considered past due. These receivables have been considered as fully recoverable based on the evaluation of terms implicit in the contracts with customers, legal opinions and other pertient factors . </t>
  </si>
  <si>
    <t>The maximum exposure to credit risk at the reporting date is the carrying value of each class of receivable mentioned above. The Company does not hold any collateral as security.</t>
  </si>
  <si>
    <t>Liquidity risk</t>
  </si>
  <si>
    <t>Prudent liquidity risk management implies maintaining sufficient cash and cash equivalents and maintaining adequate credit facilities.</t>
  </si>
  <si>
    <t>In respect of its existing operations, the Company funds its activities primarily through long-term loans secured against the power plant. The Company’s objective in relation to its existing operating business is to maintain sufficient funding to allow the plants to operate at an optimal level.</t>
  </si>
  <si>
    <t xml:space="preserve">The Company believes that the net cash flows expected to be generated from the operations shall be sufficient to meet the operating and finance costs. </t>
  </si>
  <si>
    <t>The Company operates in Single Business Segment of Generation of Power and in a Single Geography. Accordingly disclosure requirements of Ind AS 108, 'Operating Segments' as notified under Section 133 of the Companies Act, have not been furnished.</t>
  </si>
  <si>
    <t>These financial statements, for the year ended 31 March 2017, have been prepared in accordance with Ind AS. For the year ended 31 March 2016, the Company prepared its annual financial statements in accordance with accounting standards notified under section 133 of the Companies Act 2013, read together with paragraph 7 of the Companies (Accounts) Rules 2014 ('Indian GAAP' or 'previous GAAP').</t>
  </si>
  <si>
    <t>Accordingly, the Company has prepared financial statements which comply with Ind AS applicable for the year ended 31 March 2017, together with the comparative period data, as described  in the summary of significant accounting policies. This note explains the principal adjustments made by the Company in restating its Indian GAAP financial statements.</t>
  </si>
  <si>
    <t xml:space="preserve">Exemptions applied: </t>
  </si>
  <si>
    <t xml:space="preserve">Ind AS allows first-time adopters certain exemptions from the retrospective application of certain requirements under Ind AS. The company has applied the following material exemption: </t>
  </si>
  <si>
    <t>The Company has elected to avail exemption under Ind AS 101 to use India GAAP carrying value as deemed cost at the date of transition for all items of property,  plant and equipment as per the statement of financial position prepared in accordance with previous GAAP.</t>
  </si>
  <si>
    <t>In March 2017, the Ministry of Corporate Affairs issued the (Indian Accounting Standards)  (Amendments) Rules, 2017, notifying amendments to Ind AS 7, 'Statement of cash flows' and Ind AS 102, 'Share-based payment'. These amendments are in accordance with the recent amendments made by International Accounting Standards Board (IASB) to IAS 7, ' Statement of cash flows' and IFRS 2, 'Share-based payment,' respectively. The amendments are applicable to Company from 1 April 2017.</t>
  </si>
  <si>
    <t xml:space="preserve">Amendment to Ind AS 7: </t>
  </si>
  <si>
    <t>The amendment to Ind AS 7 requires the entities to provide disclosures that enable users of financial statements to evaluate changes in liabilities arising from financing activities, including both changes arising from cash flows and non-cash changes, suggesting inclusion of a reconciliation between the opening and closing balances in the balance sheet for liabilities arising from financing activities,  to meet the disclosure requirement.</t>
  </si>
  <si>
    <t xml:space="preserve">During the year the company had entered various transactions with its associated parties for supply of goods / purchase of goods. In this connection the Company is required to maintain certain documents for the transaction in accordance with the provisions of Chapter X of the Income Tax Act  1961 in order to compute arm’s length price of transaction. The management is in process of making necessary documents to support transactions. </t>
  </si>
  <si>
    <t>Date : 31-05-2019</t>
  </si>
  <si>
    <t>Note 19: Financial risk management</t>
  </si>
  <si>
    <t>Note 20: Segment information</t>
  </si>
  <si>
    <t>Note 23: Adoption of Ind AS</t>
  </si>
  <si>
    <t xml:space="preserve">Note 24. Standards issued but not effective: </t>
  </si>
  <si>
    <t>Note 25.</t>
  </si>
  <si>
    <t>For the year ended 
March 31, 2019</t>
  </si>
  <si>
    <t xml:space="preserve">        TDS PAYABLE - rent                         </t>
  </si>
  <si>
    <t xml:space="preserve">            SALARIES-KMNR</t>
  </si>
  <si>
    <t>FACTORY RENT</t>
  </si>
  <si>
    <t>COMPUTER MAIN</t>
  </si>
  <si>
    <t>depreciation</t>
  </si>
  <si>
    <t>depreciation reserve</t>
  </si>
  <si>
    <t>sundry creditors</t>
  </si>
  <si>
    <t>audit fee payable</t>
  </si>
  <si>
    <t>31.06.2019</t>
  </si>
  <si>
    <t xml:space="preserve">Account                      </t>
  </si>
  <si>
    <t xml:space="preserve">      Year To date Debits</t>
  </si>
  <si>
    <t xml:space="preserve">     Year To date Credits</t>
  </si>
  <si>
    <t xml:space="preserve"> PURCHASE ACCOUNTS           </t>
  </si>
  <si>
    <t xml:space="preserve">                         </t>
  </si>
  <si>
    <t xml:space="preserve">    RAW MATERIAL             </t>
  </si>
  <si>
    <t xml:space="preserve">    REPAIRS &amp; MAINTENANCE (P&amp;</t>
  </si>
  <si>
    <t xml:space="preserve">    CONSUMBLES               </t>
  </si>
  <si>
    <t xml:space="preserve">    PACKING MATERIAL         </t>
  </si>
  <si>
    <t xml:space="preserve"> SALES ACCOUNT               </t>
  </si>
  <si>
    <t xml:space="preserve">    SALES A/C                </t>
  </si>
  <si>
    <t xml:space="preserve"> PROFIT/LOSS ACCOUNT         </t>
  </si>
  <si>
    <t xml:space="preserve"> FIXED ASSETS                </t>
  </si>
  <si>
    <t xml:space="preserve">    LAB EQUIPMENTS           </t>
  </si>
  <si>
    <t xml:space="preserve">    LAND                     </t>
  </si>
  <si>
    <t xml:space="preserve">    ELECTRICAL INSTALLATIONS </t>
  </si>
  <si>
    <t xml:space="preserve">    PLANT &amp; MACHINERY        </t>
  </si>
  <si>
    <t xml:space="preserve">    FURNITURES &amp; FIXTURES    </t>
  </si>
  <si>
    <t xml:space="preserve">    VEHICLES                 </t>
  </si>
  <si>
    <t xml:space="preserve">    OFFICE EQUIPMENTS        </t>
  </si>
  <si>
    <t xml:space="preserve">    COMPUTERS                </t>
  </si>
  <si>
    <t xml:space="preserve">    DEPRECIATION RESERVE     </t>
  </si>
  <si>
    <t xml:space="preserve">    BUILDINGS                </t>
  </si>
  <si>
    <t xml:space="preserve"> SHARE CAPITAL               </t>
  </si>
  <si>
    <t xml:space="preserve">    REVALUATION RESERVE      </t>
  </si>
  <si>
    <t xml:space="preserve">    SHARE HOLDERS CAPITAL    </t>
  </si>
  <si>
    <t xml:space="preserve"> UNSECURED LOANS             </t>
  </si>
  <si>
    <t xml:space="preserve">    SALES TAX DIFFERMENT     </t>
  </si>
  <si>
    <t xml:space="preserve">    BHAGAT REDDY             </t>
  </si>
  <si>
    <t xml:space="preserve">    SRI SIRI CONSTRUCTIONS   </t>
  </si>
  <si>
    <t xml:space="preserve">    G.PADMA                  </t>
  </si>
  <si>
    <t xml:space="preserve">    SASWATA GUPTA            </t>
  </si>
  <si>
    <t xml:space="preserve">    DEVERAKONDA SREEKAR      </t>
  </si>
  <si>
    <t xml:space="preserve">    D.V.S.KRISHNA TEJA       </t>
  </si>
  <si>
    <t xml:space="preserve">    G.RAMANA                 </t>
  </si>
  <si>
    <t xml:space="preserve">    DR.SHARMA                </t>
  </si>
  <si>
    <t xml:space="preserve">    D.V.S.SHARMA&amp; GANAKOTA RA</t>
  </si>
  <si>
    <t xml:space="preserve">    A.BALAGOPAL CAPITAL ACCOU</t>
  </si>
  <si>
    <t xml:space="preserve">    G.RAMARAJU               </t>
  </si>
  <si>
    <t xml:space="preserve">    A.BALAGOPAL              </t>
  </si>
  <si>
    <t xml:space="preserve"> CURRENT ASSETS &amp; LOANS &amp; ADV</t>
  </si>
  <si>
    <t xml:space="preserve">    CASH IN HAND             </t>
  </si>
  <si>
    <t xml:space="preserve">    KOTAK BANK KARIMNAGAR-691</t>
  </si>
  <si>
    <t xml:space="preserve">    KOTAK LOAN ACCOUNT       </t>
  </si>
  <si>
    <t xml:space="preserve">    KOTAK BANK-6912446356    </t>
  </si>
  <si>
    <t xml:space="preserve">    SBI-IFB                  </t>
  </si>
  <si>
    <t xml:space="preserve">    KARUR VYSYA BANK         </t>
  </si>
  <si>
    <t xml:space="preserve">    SBI-CURRENT ACCOUNT      </t>
  </si>
  <si>
    <t xml:space="preserve">    ANDHRA BANK-KNR          </t>
  </si>
  <si>
    <t xml:space="preserve">    SBI-STRESS ACCOUNT       </t>
  </si>
  <si>
    <t xml:space="preserve">    IGST                     </t>
  </si>
  <si>
    <t xml:space="preserve">    INTEREST RECEIVABLE      </t>
  </si>
  <si>
    <t xml:space="preserve">    ABSEB DEPOSIT            </t>
  </si>
  <si>
    <t xml:space="preserve">    TDS RECEIVABLE           </t>
  </si>
  <si>
    <t xml:space="preserve">    MAT CREDIT ACCOUNT       </t>
  </si>
  <si>
    <t xml:space="preserve">    CLOSING STOCK-RAW MATERIA</t>
  </si>
  <si>
    <t xml:space="preserve">    CLOSING STOCK-PACKING MAT</t>
  </si>
  <si>
    <t xml:space="preserve">    CLOSING STOCK-CONSUMBLES </t>
  </si>
  <si>
    <t xml:space="preserve">    CLOSING STOCK-WIP        </t>
  </si>
  <si>
    <t xml:space="preserve">    CLOSING STOCK-FG         </t>
  </si>
  <si>
    <t xml:space="preserve">    IMPREST-SUBRAHMANYAM     </t>
  </si>
  <si>
    <t xml:space="preserve">    LINGA REDDY-FACTORY      </t>
  </si>
  <si>
    <t xml:space="preserve">    IMPREST-TEJA             </t>
  </si>
  <si>
    <t xml:space="preserve">    OTHER ADV-OLD STAFF      </t>
  </si>
  <si>
    <t xml:space="preserve">    IMPREST-ANJINEYULU       </t>
  </si>
  <si>
    <t xml:space="preserve">    FACTORY IMPREST-TEJA     </t>
  </si>
  <si>
    <t xml:space="preserve">    IMPREST-GIRI             </t>
  </si>
  <si>
    <t xml:space="preserve">    IMPREST-SUBRAHMAYAM      </t>
  </si>
  <si>
    <t xml:space="preserve">    KOTAK BANK-CC-6911935295 </t>
  </si>
  <si>
    <t xml:space="preserve"> CURRENT LIABILITIES         </t>
  </si>
  <si>
    <t xml:space="preserve">    BONUS PAYABLE            </t>
  </si>
  <si>
    <t xml:space="preserve">    GRATUITY PAYABLE         </t>
  </si>
  <si>
    <t xml:space="preserve">    SECURITY DEPOSIT-PAYABLE </t>
  </si>
  <si>
    <t xml:space="preserve">    TDS PAYABLE - INTEREST   </t>
  </si>
  <si>
    <t xml:space="preserve">    TDS PAYABLE-RENT         </t>
  </si>
  <si>
    <t xml:space="preserve">    TDS PAYABLE - TRANSPORTER</t>
  </si>
  <si>
    <t xml:space="preserve">    TDS PAYABLE- SALARIES    </t>
  </si>
  <si>
    <t xml:space="preserve">    TDS PAYABLE-PROFESSIONAL </t>
  </si>
  <si>
    <t xml:space="preserve">    TDS PAYABLE-CONTRACTORS  </t>
  </si>
  <si>
    <t xml:space="preserve">    PROFESSIONAL TAX PAYABLE </t>
  </si>
  <si>
    <t xml:space="preserve">    ESI CONTRIBUTION PAYABLE </t>
  </si>
  <si>
    <t xml:space="preserve">    PROVIDENT FUND PAYABLE   </t>
  </si>
  <si>
    <t xml:space="preserve">    RENT PAYABLE (OLD)       </t>
  </si>
  <si>
    <t xml:space="preserve">    DIRECTORS REMUNERATION PA</t>
  </si>
  <si>
    <t xml:space="preserve">    UNPAID SALARIES PAYABLE  </t>
  </si>
  <si>
    <t xml:space="preserve">    EMPLOYEE BENIFITS PAYABLE</t>
  </si>
  <si>
    <t xml:space="preserve">    LATE FILING FEE PABAYLE  </t>
  </si>
  <si>
    <t xml:space="preserve">    INTEREST PAYABLE         </t>
  </si>
  <si>
    <t xml:space="preserve">    WAGES PAYABLE-FACTORY    </t>
  </si>
  <si>
    <t xml:space="preserve">    SALARIES PAYABLE-OTHERS F</t>
  </si>
  <si>
    <t xml:space="preserve">    SALARIES PAYABLE-MKTG    </t>
  </si>
  <si>
    <t xml:space="preserve">    CONTRACT LABOUR CHARGES P</t>
  </si>
  <si>
    <t xml:space="preserve">    SALARIES PAYABLE-OFFICE  </t>
  </si>
  <si>
    <t xml:space="preserve">    ADVANCES FROM CUSTOMERS  </t>
  </si>
  <si>
    <t xml:space="preserve">    DIFFERED TAX LIABILITY   </t>
  </si>
  <si>
    <t xml:space="preserve">    FIELD STAFF EXPENSES PAYA</t>
  </si>
  <si>
    <t xml:space="preserve">        MANAS JYOTHI SARMA   </t>
  </si>
  <si>
    <t xml:space="preserve">        RAJEEV RANJAN        </t>
  </si>
  <si>
    <t xml:space="preserve">        GANESH KUMAR SINGH   </t>
  </si>
  <si>
    <t xml:space="preserve">        MANISH KUMAR         </t>
  </si>
  <si>
    <t xml:space="preserve">        MOHD IMRAN           </t>
  </si>
  <si>
    <t xml:space="preserve">        AYODHYA KUMAR        </t>
  </si>
  <si>
    <t xml:space="preserve">        AVINASH KUMAR SINGH  </t>
  </si>
  <si>
    <t xml:space="preserve">        D.B.PANDITA          </t>
  </si>
  <si>
    <t xml:space="preserve">        MANISH KUMAR PANDEY  </t>
  </si>
  <si>
    <t xml:space="preserve">        JEEVAN KENAGAR       </t>
  </si>
  <si>
    <t xml:space="preserve">        SHYAMDEV PRASAD      </t>
  </si>
  <si>
    <t xml:space="preserve">        ARIF YUNUS TAMBOLI   </t>
  </si>
  <si>
    <t xml:space="preserve">        SANDEEP K.C          </t>
  </si>
  <si>
    <t xml:space="preserve">        NAGARAJU KOKIRALPATI </t>
  </si>
  <si>
    <t xml:space="preserve">        SRINIVASA RAO. B     </t>
  </si>
  <si>
    <t xml:space="preserve">        M.RAVI RAJ           </t>
  </si>
  <si>
    <t xml:space="preserve">        FIELD STAFF EXP PAYBL</t>
  </si>
  <si>
    <t xml:space="preserve">        LAXMAN RAO KULKARNI  </t>
  </si>
  <si>
    <t xml:space="preserve">        HRUSHIKESH AGNIHOTRI </t>
  </si>
  <si>
    <t xml:space="preserve">        RACHAYYA M SANGOLGI  </t>
  </si>
  <si>
    <t xml:space="preserve">        RAVINDRA KULKARNI    </t>
  </si>
  <si>
    <t xml:space="preserve">        K.SYAMKUMAR          </t>
  </si>
  <si>
    <t xml:space="preserve">        S.SRIKANTH           </t>
  </si>
  <si>
    <t xml:space="preserve">    SALARIES PAYABLE-FACTORY </t>
  </si>
  <si>
    <t xml:space="preserve">    C S R LIFE SCIENCES,VIJAY</t>
  </si>
  <si>
    <t xml:space="preserve">    PRINCE MEDICAL AGENCIES  </t>
  </si>
  <si>
    <t xml:space="preserve">    NANDINI MEDICAL AGENCIES </t>
  </si>
  <si>
    <t xml:space="preserve">    KARTHIK SURGICALS EMPORIU</t>
  </si>
  <si>
    <t xml:space="preserve">    JNM ENTERPRISES          </t>
  </si>
  <si>
    <t xml:space="preserve">    GURU KRIPA ENTERPRISES   </t>
  </si>
  <si>
    <t xml:space="preserve">    K-LIFE HEALTHCARE.       </t>
  </si>
  <si>
    <t xml:space="preserve">    SRIJAN ENTERPRISES       </t>
  </si>
  <si>
    <t xml:space="preserve">    PRATYUSH MEDICARE        </t>
  </si>
  <si>
    <t xml:space="preserve">    LAXMI HEALTH AGENCIES    </t>
  </si>
  <si>
    <t xml:space="preserve">    CHIRON SURGIMED LLP      </t>
  </si>
  <si>
    <t xml:space="preserve">    TULSI ENTERPRISES        </t>
  </si>
  <si>
    <t xml:space="preserve">    SIKKAM MEDICO            </t>
  </si>
  <si>
    <t xml:space="preserve">    SRADDA PHARMA            </t>
  </si>
  <si>
    <t xml:space="preserve">    SHREE ASSOCIATES         </t>
  </si>
  <si>
    <t xml:space="preserve">    SAKTHI PHARMA            </t>
  </si>
  <si>
    <t xml:space="preserve">    S K PHARMA               </t>
  </si>
  <si>
    <t xml:space="preserve">    SURGI MED AGENCIES       </t>
  </si>
  <si>
    <t xml:space="preserve">    MODERN SURGICALS         </t>
  </si>
  <si>
    <t xml:space="preserve">    MEDIZIN BIOPHARMA PVT LTD</t>
  </si>
  <si>
    <t xml:space="preserve">    MAHAJAN &amp; MAHAJAN PHARMAC</t>
  </si>
  <si>
    <t xml:space="preserve">    LINK SURGICALS - KANNUR  </t>
  </si>
  <si>
    <t xml:space="preserve">    KOTTAKAL SURGICALS       </t>
  </si>
  <si>
    <t xml:space="preserve">    J S SURGICALS            </t>
  </si>
  <si>
    <t xml:space="preserve">    J S ENTERPRISES          </t>
  </si>
  <si>
    <t xml:space="preserve">    HI CARE ENTERPRISES      </t>
  </si>
  <si>
    <t xml:space="preserve">    FAITH PHARMA &amp; SURGICALS </t>
  </si>
  <si>
    <t xml:space="preserve">    EMIRATES AGENCIES        </t>
  </si>
  <si>
    <t xml:space="preserve">    C. S. ASSOCIATES         </t>
  </si>
  <si>
    <t xml:space="preserve">    BIOCHEM PHARMACEUTICALS  </t>
  </si>
  <si>
    <t xml:space="preserve">    Bimla Medical Agency     </t>
  </si>
  <si>
    <t xml:space="preserve">    ARCHANA DRUG HOUSE       </t>
  </si>
  <si>
    <t xml:space="preserve">    ADI MEDCIAL DEVISES      </t>
  </si>
  <si>
    <t xml:space="preserve">    ANIKA SURGICALS          </t>
  </si>
  <si>
    <t xml:space="preserve">    PRACHI SUGICARE          </t>
  </si>
  <si>
    <t xml:space="preserve">    AMBA ENTERPRISES         </t>
  </si>
  <si>
    <t xml:space="preserve">    G.D.PHARMACEUTICALS      </t>
  </si>
  <si>
    <t xml:space="preserve">    GUPTHA MEDICINE TRADERS  </t>
  </si>
  <si>
    <t xml:space="preserve">    TRIPLE S ENTERPRISES     </t>
  </si>
  <si>
    <t xml:space="preserve">    ROHITH PHARMACEUTICAL    </t>
  </si>
  <si>
    <t xml:space="preserve">    PASE MEDYSOLUTIONS       </t>
  </si>
  <si>
    <t xml:space="preserve">    OM PHARMA                </t>
  </si>
  <si>
    <t xml:space="preserve">    PADMASHREE DISTRIBUTORS  </t>
  </si>
  <si>
    <t xml:space="preserve">    PRAVEEN PHARMA           </t>
  </si>
  <si>
    <t xml:space="preserve">    SHIVALI AGENCIES         </t>
  </si>
  <si>
    <t xml:space="preserve">    MALABAR TRADE WINGS      </t>
  </si>
  <si>
    <t xml:space="preserve">    STARCHEM PHARMA          </t>
  </si>
  <si>
    <t xml:space="preserve">    V K PHARMA               </t>
  </si>
  <si>
    <t xml:space="preserve">    KARAN SERVICES POINT     </t>
  </si>
  <si>
    <t xml:space="preserve">    HEZAL PHARMA.            </t>
  </si>
  <si>
    <t xml:space="preserve">    MILLENNIUM HEALTHCARE    </t>
  </si>
  <si>
    <t xml:space="preserve">    TIME ENTERPRISES         </t>
  </si>
  <si>
    <t xml:space="preserve">    MIRAJ DISTRIBUTORS.      </t>
  </si>
  <si>
    <t xml:space="preserve">    RAMSON REMEDIES          </t>
  </si>
  <si>
    <t xml:space="preserve">    ARIHANT TECNOPLAST       </t>
  </si>
  <si>
    <t xml:space="preserve">    SUNNY PHARMA             </t>
  </si>
  <si>
    <t xml:space="preserve">    MEERA MEDICALS           </t>
  </si>
  <si>
    <t xml:space="preserve">    SALAI SURGICALS          </t>
  </si>
  <si>
    <t xml:space="preserve">    SRI AMBAL AGENCIES       </t>
  </si>
  <si>
    <t xml:space="preserve">    ANDREA PHARMA            </t>
  </si>
  <si>
    <t xml:space="preserve">    SURGICAL HOUSE           </t>
  </si>
  <si>
    <t xml:space="preserve">    UNIVERSAL SURGICAL ASSOCI</t>
  </si>
  <si>
    <t xml:space="preserve">    MEDICAMEN TRADING CORPORA</t>
  </si>
  <si>
    <t xml:space="preserve">    CSR LIFE SCIENCES        </t>
  </si>
  <si>
    <t xml:space="preserve">    SRI GANESH PLASTICS      </t>
  </si>
  <si>
    <t xml:space="preserve">    PIONEER AGENCIES.        </t>
  </si>
  <si>
    <t xml:space="preserve">    SRILAKSHMI ENTERPRISES   </t>
  </si>
  <si>
    <t xml:space="preserve">    PAVAN PHARMA.            </t>
  </si>
  <si>
    <t xml:space="preserve">    INDIAN PHARMA DISTRIBUTOR</t>
  </si>
  <si>
    <t xml:space="preserve">    SHREE BHATT MEDICAL AGENC</t>
  </si>
  <si>
    <t xml:space="preserve">    SYNDICATE AGENCIES       </t>
  </si>
  <si>
    <t xml:space="preserve">    MEDLIGHT DRUGS &amp; SURGICAL</t>
  </si>
  <si>
    <t xml:space="preserve">    SUNDRY DEBTORS-OLD       </t>
  </si>
  <si>
    <t xml:space="preserve">    HIMADRI SURGICAL AGENCY  </t>
  </si>
  <si>
    <t xml:space="preserve"> Vendor Master A/C           </t>
  </si>
  <si>
    <t xml:space="preserve">    JAIPUR GOLDEN TRANSPORT  </t>
  </si>
  <si>
    <t xml:space="preserve">    JEEVA LIFE SCIENCES      </t>
  </si>
  <si>
    <t xml:space="preserve">    BEARING HOUSE            </t>
  </si>
  <si>
    <t xml:space="preserve">    BALAJI ALOY CORP         </t>
  </si>
  <si>
    <t xml:space="preserve">    ANUPAMA SERVICE APARTMENT</t>
  </si>
  <si>
    <t xml:space="preserve">    ASFA CORPORATION         </t>
  </si>
  <si>
    <t xml:space="preserve">    ABHAY HYDROLICS          </t>
  </si>
  <si>
    <t xml:space="preserve">    ANNIE ENTERPRISES        </t>
  </si>
  <si>
    <t xml:space="preserve">    SANGAM LIFE SCIENCES     </t>
  </si>
  <si>
    <t xml:space="preserve">    HYDRO PNEUMITCS          </t>
  </si>
  <si>
    <t xml:space="preserve">    ELECTRONICA INDIA        </t>
  </si>
  <si>
    <t xml:space="preserve">    ELECTRONICA              </t>
  </si>
  <si>
    <t xml:space="preserve">    BIOGEN HEALTHCARE        </t>
  </si>
  <si>
    <t xml:space="preserve">    SRUJANA INDL. MKTG ASSOCI</t>
  </si>
  <si>
    <t xml:space="preserve">    JAIN ELECTRONICS INDIA   </t>
  </si>
  <si>
    <t xml:space="preserve">    AGARWAL ALLOY STEEL CORPO</t>
  </si>
  <si>
    <t xml:space="preserve">    UNIVERSAL WATER CHEMICALS</t>
  </si>
  <si>
    <t xml:space="preserve">    SRI SHIRODA KAMAKSHI ENTP</t>
  </si>
  <si>
    <t xml:space="preserve">    LAKSHMI DESIGNERS        </t>
  </si>
  <si>
    <t xml:space="preserve">    ABLE CHEM                </t>
  </si>
  <si>
    <t xml:space="preserve">    ACE ENTERPRISES,         </t>
  </si>
  <si>
    <t xml:space="preserve">    ANGEL PRODUCTS           </t>
  </si>
  <si>
    <t xml:space="preserve">    ARHAM PLASTIC UDYOG      </t>
  </si>
  <si>
    <t xml:space="preserve">    ARUN OVERSEAS            </t>
  </si>
  <si>
    <t xml:space="preserve">    AXON POLY FILMS LLP      </t>
  </si>
  <si>
    <t xml:space="preserve">    APAR INDUSTRIES LTD      </t>
  </si>
  <si>
    <t xml:space="preserve">    ANJANEYA INKS AND COATING</t>
  </si>
  <si>
    <t xml:space="preserve">    BOORUGU &amp; CO.            </t>
  </si>
  <si>
    <t xml:space="preserve">    BHAGAWATI ENTERPRISES    </t>
  </si>
  <si>
    <t xml:space="preserve">    SRI RAMA PRODUCTS        </t>
  </si>
  <si>
    <t xml:space="preserve">    XL SOFT SYSTEMES LTD - HY</t>
  </si>
  <si>
    <t xml:space="preserve">    CAPRIHANS INDIA LIMITED  </t>
  </si>
  <si>
    <t xml:space="preserve">    CENTAUR TECH PLAST PVT. L</t>
  </si>
  <si>
    <t xml:space="preserve">    CHAVAN RUBBER INDUSTRIES </t>
  </si>
  <si>
    <t xml:space="preserve">    CLASSIC ALLOY            </t>
  </si>
  <si>
    <t xml:space="preserve">    CHAINS &amp; SPARES CORPORATI</t>
  </si>
  <si>
    <t xml:space="preserve">    CONVERTEX GASES PRIVATE L</t>
  </si>
  <si>
    <t xml:space="preserve">    CORAL PRINT PACK PVT LTD </t>
  </si>
  <si>
    <t xml:space="preserve">    DASHA SALES CORPORATION  </t>
  </si>
  <si>
    <t xml:space="preserve">    DHARMIK PAPER PRODUCTS   </t>
  </si>
  <si>
    <t xml:space="preserve">    DURGA PACKAGING INDUSTRIE</t>
  </si>
  <si>
    <t xml:space="preserve">    DME INDIA PVT LTD        </t>
  </si>
  <si>
    <t xml:space="preserve">    ENGINEERS EQUIPMENT COMPA</t>
  </si>
  <si>
    <t xml:space="preserve">    VIJAYDEEP MOULD ACCESSORI</t>
  </si>
  <si>
    <t xml:space="preserve">    GLOBAL ENTERPRISES       </t>
  </si>
  <si>
    <t xml:space="preserve">    GURUMANGALAM INTERNATIONA</t>
  </si>
  <si>
    <t xml:space="preserve">    HY-GLASS AND CHEMICALS   </t>
  </si>
  <si>
    <t xml:space="preserve">    INDO PLAST               </t>
  </si>
  <si>
    <t xml:space="preserve">    J.K INDUSTRIES           </t>
  </si>
  <si>
    <t xml:space="preserve">    J.P. HEALTH CARE         </t>
  </si>
  <si>
    <t xml:space="preserve">    JAIN RUBBERS PVT.LTD.    </t>
  </si>
  <si>
    <t xml:space="preserve">    JUBILANT LIFE SCIENCES LI</t>
  </si>
  <si>
    <t xml:space="preserve">    JYOTHI ENGINEERS         </t>
  </si>
  <si>
    <t xml:space="preserve">    JAYALAXMI CORPORATION    </t>
  </si>
  <si>
    <t xml:space="preserve">    LINUX MACHINES INCORPORAT</t>
  </si>
  <si>
    <t xml:space="preserve">    K.L.J PLASTICIZERS LTD.  </t>
  </si>
  <si>
    <t xml:space="preserve">    KAVYA PACKAGING          </t>
  </si>
  <si>
    <t xml:space="preserve">    KRISHNA POLYMERS         </t>
  </si>
  <si>
    <t xml:space="preserve">    KAVITHA CHEMICALS        </t>
  </si>
  <si>
    <t xml:space="preserve">    MADYANCHAL RUBBER PVT. LT</t>
  </si>
  <si>
    <t xml:space="preserve">    MAHALAKSHMI POLYMERS     </t>
  </si>
  <si>
    <t xml:space="preserve">    MAHAVEER INKS COSTINGS   </t>
  </si>
  <si>
    <t xml:space="preserve">    MAITHRI RUBBER INDUSTRIES</t>
  </si>
  <si>
    <t xml:space="preserve">    MALLIKARJUNA WIRE NETTING</t>
  </si>
  <si>
    <t xml:space="preserve">    MANSAROVER AGRO SACKS PVT</t>
  </si>
  <si>
    <t xml:space="preserve">    MARUTHI ENTERPRISES      </t>
  </si>
  <si>
    <t xml:space="preserve">    MEDICARE INDUSTRIES      </t>
  </si>
  <si>
    <t xml:space="preserve">    MICRON ADHESIVES PVT. LTD</t>
  </si>
  <si>
    <t xml:space="preserve">    MITAL PLASTIC            </t>
  </si>
  <si>
    <t xml:space="preserve">    MONOPRENE INTERNATIONALS </t>
  </si>
  <si>
    <t xml:space="preserve">    MULTIPRENE INTERNATIONALS</t>
  </si>
  <si>
    <t xml:space="preserve">    M V ENTERPRISES          </t>
  </si>
  <si>
    <t xml:space="preserve">    MUDRA ENGINEERING ASSOCIA</t>
  </si>
  <si>
    <t xml:space="preserve">    MOIZ TRADERS             </t>
  </si>
  <si>
    <t xml:space="preserve">    NEWGEN ENTERPRISES       </t>
  </si>
  <si>
    <t xml:space="preserve">    NISCHIT ENTERPRISES      </t>
  </si>
  <si>
    <t xml:space="preserve">    OM STEEL TUBES LIMITED   </t>
  </si>
  <si>
    <t xml:space="preserve">    OMEX MEDICARE            </t>
  </si>
  <si>
    <t xml:space="preserve">    OUM INDUSTRIES           </t>
  </si>
  <si>
    <t xml:space="preserve">    PALL INDIA PRAVITE LIMITE</t>
  </si>
  <si>
    <t xml:space="preserve">    PD FLUTED CARTONS        </t>
  </si>
  <si>
    <t xml:space="preserve">    PEARL POLYMERS           </t>
  </si>
  <si>
    <t xml:space="preserve">    PRATEEK MEDISURGICALS    </t>
  </si>
  <si>
    <t xml:space="preserve">    PLASTIC LINKS            </t>
  </si>
  <si>
    <t xml:space="preserve">    RAM-NATH &amp; CO. PVT. LTD.,</t>
  </si>
  <si>
    <t xml:space="preserve">    RELIANCE TRANDING COMPANY</t>
  </si>
  <si>
    <t xml:space="preserve">    RELIANT PACKAGING FILMS L</t>
  </si>
  <si>
    <t xml:space="preserve">    SPP POLY PACK PVT LTD    </t>
  </si>
  <si>
    <t xml:space="preserve">    S.M.ROTO FLEX PVT.LTD.   </t>
  </si>
  <si>
    <t xml:space="preserve">    SAI KRISHNA AGENCIES     </t>
  </si>
  <si>
    <t xml:space="preserve">    SAI MOHITA PACKAGING     </t>
  </si>
  <si>
    <t xml:space="preserve">    SAI VENKATESWARA PACKAGIN</t>
  </si>
  <si>
    <t xml:space="preserve">    SHANGHAI VENCH BIO-TECHNO</t>
  </si>
  <si>
    <t xml:space="preserve">    SHREE RAM PRINTPACK INDUS</t>
  </si>
  <si>
    <t xml:space="preserve">    SILVER PRINTS PVT.LTD.   </t>
  </si>
  <si>
    <t xml:space="preserve">    SPINKS INDIA             </t>
  </si>
  <si>
    <t xml:space="preserve">    REPRO PLOY SERVICES      </t>
  </si>
  <si>
    <t xml:space="preserve">    KEERTHY FIRE SAFETY ENGIN</t>
  </si>
  <si>
    <t xml:space="preserve">    STANDARD REAGENTS PVT. LT</t>
  </si>
  <si>
    <t xml:space="preserve">    SUN SHINE PLASTIC INDUSTR</t>
  </si>
  <si>
    <t xml:space="preserve">    SUNIL PAPER MART         </t>
  </si>
  <si>
    <t xml:space="preserve">    SWAGATH INTERNATIONAL    </t>
  </si>
  <si>
    <t xml:space="preserve">    SWATI INDUSTRIAL PACKS   </t>
  </si>
  <si>
    <t xml:space="preserve">    SYNCO INDUSTRIES LTD.(TST</t>
  </si>
  <si>
    <t xml:space="preserve">    ADHESIVES &amp; PACKAGING CO </t>
  </si>
  <si>
    <t xml:space="preserve">    SRI HARDEV AGENCIES      </t>
  </si>
  <si>
    <t xml:space="preserve">    BALAJI OFFICE AUTOMATION </t>
  </si>
  <si>
    <t xml:space="preserve">    SRI MODULAR CLEAN ROOMS  </t>
  </si>
  <si>
    <t xml:space="preserve">    SVG PRINTERS             </t>
  </si>
  <si>
    <t xml:space="preserve">    SHRINATH ROTOPACK PVT LTD</t>
  </si>
  <si>
    <t xml:space="preserve">    S.V.INDUSTRIES           </t>
  </si>
  <si>
    <t xml:space="preserve">    SRI GANESH HEATERS       </t>
  </si>
  <si>
    <t xml:space="preserve">    S.V.PACKAING INDUSTRIES  </t>
  </si>
  <si>
    <t xml:space="preserve">    VOESTALPINE HIGH PERFORMA</t>
  </si>
  <si>
    <t xml:space="preserve">    SRI INDRA DIAGNOSTICS    </t>
  </si>
  <si>
    <t xml:space="preserve">    SUPERIOR ELECTRIC MACHINE</t>
  </si>
  <si>
    <t xml:space="preserve">    SRI SAI VIVEKA TECHNOLOGI</t>
  </si>
  <si>
    <t xml:space="preserve">    S.S.PACKAGING-HYDERABAD  </t>
  </si>
  <si>
    <t xml:space="preserve">    FAMOUS ENTERPRISES       </t>
  </si>
  <si>
    <t xml:space="preserve">    QUBIA ENTERPRISES        </t>
  </si>
  <si>
    <t xml:space="preserve">    NAVYA SHREE INDUSTRIES   </t>
  </si>
  <si>
    <t xml:space="preserve">    SALESWORTH INDIA PRIVATE </t>
  </si>
  <si>
    <t xml:space="preserve">    VENKATESWARA ENTERPRISES </t>
  </si>
  <si>
    <t xml:space="preserve">    VASUNDERA INDUSTRIES     </t>
  </si>
  <si>
    <t xml:space="preserve">    V.S.TRADING CORPORATION  </t>
  </si>
  <si>
    <t xml:space="preserve">    UNIVERSAL GRAPHICS       </t>
  </si>
  <si>
    <t xml:space="preserve">    UNITED REFRIGERATION     </t>
  </si>
  <si>
    <t xml:space="preserve">    INTELE OFFICE SYSTEMS &amp; S</t>
  </si>
  <si>
    <t xml:space="preserve">    VINAYAK AUTOMATION PRODUC</t>
  </si>
  <si>
    <t xml:space="preserve">    S.V.TOOLS &amp; BEARINGS (201</t>
  </si>
  <si>
    <t xml:space="preserve">    STERI GASES              </t>
  </si>
  <si>
    <t xml:space="preserve">    SRIVIN ENGINEERING COMPAN</t>
  </si>
  <si>
    <t xml:space="preserve">    SRI INDIRA DIAGONOSTICS  </t>
  </si>
  <si>
    <t xml:space="preserve">    SRI VISHNU TOOL TECH PVT </t>
  </si>
  <si>
    <t xml:space="preserve">    SKY MEDI EQUIPMENTS INDIA</t>
  </si>
  <si>
    <t xml:space="preserve">    STEEL AUTHORITY OF INDIA </t>
  </si>
  <si>
    <t xml:space="preserve">    STEEL WORLD              </t>
  </si>
  <si>
    <t xml:space="preserve">    SHATRUGHAN &amp; SONS        </t>
  </si>
  <si>
    <t xml:space="preserve">    SHYAM MKTG               </t>
  </si>
  <si>
    <t xml:space="preserve">    SIGMA ELECTRICALS WORKS  </t>
  </si>
  <si>
    <t xml:space="preserve">    S.N.PACKAGING            </t>
  </si>
  <si>
    <t xml:space="preserve">    S.N.FLUID TECK SYSTEMS   </t>
  </si>
  <si>
    <t xml:space="preserve">    SAHARA ELECTRICALS WORKS-</t>
  </si>
  <si>
    <t xml:space="preserve">    SONAL AUTOMATION         </t>
  </si>
  <si>
    <t xml:space="preserve">    RATNAPAKHI ELECTRICALS   </t>
  </si>
  <si>
    <t xml:space="preserve">    R.K TRADING CO           </t>
  </si>
  <si>
    <t xml:space="preserve">    RECKON METAL INDUSTRIES  </t>
  </si>
  <si>
    <t xml:space="preserve">    PEARALA AGENCIES         </t>
  </si>
  <si>
    <t xml:space="preserve">    PAVAN METAL INDUSTRIES   </t>
  </si>
  <si>
    <t xml:space="preserve">    PADMAVATHI TECHNOLOGIES  </t>
  </si>
  <si>
    <t xml:space="preserve">    PVK INDUSTRIAL ENTEPRISES</t>
  </si>
  <si>
    <t xml:space="preserve">    ORION ELECTRONICS        </t>
  </si>
  <si>
    <t xml:space="preserve">    ORIENT CHEMICAL INDUSTRIE</t>
  </si>
  <si>
    <t xml:space="preserve">    NVS INDUSTRIES           </t>
  </si>
  <si>
    <t xml:space="preserve">    NEW PERFECT ENGINEERING  </t>
  </si>
  <si>
    <t xml:space="preserve">    NEW VIMCO PLASTICS       </t>
  </si>
  <si>
    <t xml:space="preserve">    NEW BALAJI INTERNATIONAL </t>
  </si>
  <si>
    <t xml:space="preserve">    MP SOALR TECHONOLOGIES AN</t>
  </si>
  <si>
    <t xml:space="preserve">    MATHAJI                  </t>
  </si>
  <si>
    <t xml:space="preserve">    MAHENDRA SALES           </t>
  </si>
  <si>
    <t xml:space="preserve">    MJ INNOVATE TECHGNOLOGIES</t>
  </si>
  <si>
    <t xml:space="preserve">    LINUX MACHINES           </t>
  </si>
  <si>
    <t xml:space="preserve">    LUCKY ELECTRICALS        </t>
  </si>
  <si>
    <t xml:space="preserve">    KRISHNA ENTERPRISE       </t>
  </si>
  <si>
    <t xml:space="preserve">    JAI TULSI SWITCHGEARS PVT</t>
  </si>
  <si>
    <t xml:space="preserve">    GLOBE TRADING CORPORATION</t>
  </si>
  <si>
    <t xml:space="preserve">    GANGA ASSOCIATES         </t>
  </si>
  <si>
    <t xml:space="preserve">    G.P.R ENTERPRISES- SECUND</t>
  </si>
  <si>
    <t xml:space="preserve">    ESENNAR TYRANSFORMERS PVT</t>
  </si>
  <si>
    <t xml:space="preserve">    DECCAN GYPSUM            </t>
  </si>
  <si>
    <t xml:space="preserve">    CREATIVE AUTOMATION TECH </t>
  </si>
  <si>
    <t xml:space="preserve">    CHINO CORPORATION INDIA P</t>
  </si>
  <si>
    <t xml:space="preserve">    BULBULE ENGINEERING CO   </t>
  </si>
  <si>
    <t xml:space="preserve">    SS CHEMICALS             </t>
  </si>
  <si>
    <t xml:space="preserve">    SRI VENKATA SAI PACKAGES </t>
  </si>
  <si>
    <t xml:space="preserve">    SWAMY ELECTRICALS        </t>
  </si>
  <si>
    <t xml:space="preserve">    TAVISHI POLYMERS &amp; CHEMIC</t>
  </si>
  <si>
    <t xml:space="preserve">    TIME CHEM                </t>
  </si>
  <si>
    <t xml:space="preserve">    UMA HEALTH CARE          </t>
  </si>
  <si>
    <t xml:space="preserve">    VIKAS CHEM               </t>
  </si>
  <si>
    <t xml:space="preserve">    VKR POLYPACK             </t>
  </si>
  <si>
    <t xml:space="preserve">    YENKAY ADESIVES          </t>
  </si>
  <si>
    <t xml:space="preserve">    ZYLOG PLASTALLOYS (P) LTD</t>
  </si>
  <si>
    <t xml:space="preserve">    JAGADAMBA INDUSTRES      </t>
  </si>
  <si>
    <t xml:space="preserve">    ALERT ELECTRONICS        </t>
  </si>
  <si>
    <t xml:space="preserve">    SRI GANAPATHI INDUSTRIES </t>
  </si>
  <si>
    <t xml:space="preserve">    NAVRANG MACHINERY PVT LTD</t>
  </si>
  <si>
    <t xml:space="preserve">    CLASSIC METAL            </t>
  </si>
  <si>
    <t xml:space="preserve">    SS SERVICE STATION       </t>
  </si>
  <si>
    <t xml:space="preserve">    BRAHMEDRA HEATERS        </t>
  </si>
  <si>
    <t xml:space="preserve">    SRI RAGHAVENDR ENGINEERIN</t>
  </si>
  <si>
    <t xml:space="preserve">    SUGUNA INDUSTRIES        </t>
  </si>
  <si>
    <t xml:space="preserve">    AIR POWER ENGINEERS      </t>
  </si>
  <si>
    <t xml:space="preserve">    SHAM SUNDER ELECTRICAL WO</t>
  </si>
  <si>
    <t xml:space="preserve">    LAW PUBLICO EXTENSION    </t>
  </si>
  <si>
    <t xml:space="preserve">    SRI SAI GRAVURE PRINTS   </t>
  </si>
  <si>
    <t xml:space="preserve">    VISHWANADHAM.K           </t>
  </si>
  <si>
    <t xml:space="preserve">    VENKATA SAI STATIONERYS  </t>
  </si>
  <si>
    <t xml:space="preserve">    URVASI RESIDENCY - SEC   </t>
  </si>
  <si>
    <t xml:space="preserve">    SRI SAI PLASTIC PRODUCTS </t>
  </si>
  <si>
    <t xml:space="preserve">    SAI PRASAD GRAPHICS      </t>
  </si>
  <si>
    <t xml:space="preserve">    R.BIKSHPATHI GOUD-NIGHT S</t>
  </si>
  <si>
    <t xml:space="preserve">    MOUNIKA TAILOR'S         </t>
  </si>
  <si>
    <t xml:space="preserve">    MALATHI MAHESHWAR PLASTIC</t>
  </si>
  <si>
    <t xml:space="preserve">    KEERTHI EXPRESS          </t>
  </si>
  <si>
    <t xml:space="preserve">    G.SURAVATHI--LAND OWNER  </t>
  </si>
  <si>
    <t xml:space="preserve">    G.RAMARAJU-LAND OWNER    </t>
  </si>
  <si>
    <t xml:space="preserve">    K.R.RAJA SEKAR &amp; CO      </t>
  </si>
  <si>
    <t xml:space="preserve">    JAYANT &amp; SADASIV (NEW)   </t>
  </si>
  <si>
    <t xml:space="preserve">    JAYA LAXMI ROTO PRINTERES</t>
  </si>
  <si>
    <t xml:space="preserve">    G.KRISHNA MURTHY &amp; SONS  </t>
  </si>
  <si>
    <t xml:space="preserve">    SIMSON LIFE SCIENCES PRIV</t>
  </si>
  <si>
    <t xml:space="preserve">    DEEPAK LOGISTICS         </t>
  </si>
  <si>
    <t xml:space="preserve">    UNITED STEEL &amp; METAL UDYO</t>
  </si>
  <si>
    <t xml:space="preserve">    BHAGAVATHI GUEST HOUSE   </t>
  </si>
  <si>
    <t xml:space="preserve">    RANGU RAMADEVI           </t>
  </si>
  <si>
    <t xml:space="preserve">    K.SATYANARAYANA GOUD     </t>
  </si>
  <si>
    <t xml:space="preserve">    IMPACT ADVERTISING       </t>
  </si>
  <si>
    <t xml:space="preserve">    KRISHNA STATIONERS       </t>
  </si>
  <si>
    <t xml:space="preserve">    SHREE JAYALAXMI ROTO PRIN</t>
  </si>
  <si>
    <t xml:space="preserve">    WESTERN REFIGERATION COMP</t>
  </si>
  <si>
    <t xml:space="preserve">    ASSOCIATED ROAD CARRIERS </t>
  </si>
  <si>
    <t xml:space="preserve">    MAALATHI LOGISTICS       </t>
  </si>
  <si>
    <t xml:space="preserve">    CLOUD LASERS             </t>
  </si>
  <si>
    <t xml:space="preserve">    JAIN TRASPORT AGENCY     </t>
  </si>
  <si>
    <t xml:space="preserve">    KERALA ROADWAYS PVT LTD  </t>
  </si>
  <si>
    <t xml:space="preserve">    VAMSHI KRISHNA ENTERPRISE</t>
  </si>
  <si>
    <t xml:space="preserve">    SUDAKAR REDDY            </t>
  </si>
  <si>
    <t xml:space="preserve">    GAYATHRI CARGO MOVERS    </t>
  </si>
  <si>
    <t xml:space="preserve">    SRI SAI DURGA LORRY TRANS</t>
  </si>
  <si>
    <t xml:space="preserve">    TIRUPATHI TRANSPORT      </t>
  </si>
  <si>
    <t xml:space="preserve">    VRL LOGISTICS LTD        </t>
  </si>
  <si>
    <t xml:space="preserve">    V-TRANS INDIA LTD        </t>
  </si>
  <si>
    <t xml:space="preserve">    OM LOGISTICS LTD         </t>
  </si>
  <si>
    <t xml:space="preserve">    VBS EXPRESS LOGISTICS    </t>
  </si>
  <si>
    <t xml:space="preserve">    SURAT ROAD WAYS          </t>
  </si>
  <si>
    <t xml:space="preserve">    VIHANG ENTERPRISES       </t>
  </si>
  <si>
    <t xml:space="preserve">    SRI RAMA LABOUR CONTRACTO</t>
  </si>
  <si>
    <t xml:space="preserve">    TCI EXPRESS LOGISTICS    </t>
  </si>
  <si>
    <t xml:space="preserve">    TCI FRIGHT               </t>
  </si>
  <si>
    <t xml:space="preserve">    VINAYAKA ASSOCIATES      </t>
  </si>
  <si>
    <t xml:space="preserve">    MAHAVEER PHARMA          </t>
  </si>
  <si>
    <t xml:space="preserve">    JST LAMINATORS PVT. LTD  </t>
  </si>
  <si>
    <t xml:space="preserve"> SALARIES &amp; WAGES            </t>
  </si>
  <si>
    <t xml:space="preserve">    OT - FACTORY WORKERS     </t>
  </si>
  <si>
    <t xml:space="preserve">    FACTORY - WORKERS WAGES  </t>
  </si>
  <si>
    <t xml:space="preserve">    ESI EMPLOYER CONTRIBUTION</t>
  </si>
  <si>
    <t xml:space="preserve">    SALARIES-FACTORY STAFF-OT</t>
  </si>
  <si>
    <t xml:space="preserve">    SALARIES-MKTG            </t>
  </si>
  <si>
    <t xml:space="preserve">    P.F EMPLOYER CONTRIBUTION</t>
  </si>
  <si>
    <t xml:space="preserve">    CONTRACT WAGES           </t>
  </si>
  <si>
    <t xml:space="preserve">    SALARIES-KMNR            </t>
  </si>
  <si>
    <t xml:space="preserve">    SALARIES-OFFICE          </t>
  </si>
  <si>
    <t xml:space="preserve">    SALARIES-FACTORY STAFF   </t>
  </si>
  <si>
    <t xml:space="preserve"> FACTORY EXPENSES            </t>
  </si>
  <si>
    <t xml:space="preserve">    POWER &amp; FUEL             </t>
  </si>
  <si>
    <t xml:space="preserve">    FACTORY RENT             </t>
  </si>
  <si>
    <t xml:space="preserve">    KARIM NAGAR EXPENSES     </t>
  </si>
  <si>
    <t xml:space="preserve">    STAFF WELFARE-FACTORY    </t>
  </si>
  <si>
    <t xml:space="preserve">    GENERAL EXP-FACTORY      </t>
  </si>
  <si>
    <t xml:space="preserve">    DESIGNING CHARGES-ARTWORK</t>
  </si>
  <si>
    <t xml:space="preserve">    SECURITY CHARGES         </t>
  </si>
  <si>
    <t xml:space="preserve">    TESTING CHARGES          </t>
  </si>
  <si>
    <t xml:space="preserve">    MEDICAL EXPENSES         </t>
  </si>
  <si>
    <t xml:space="preserve">    FRIGHT OUTWARD-FACTORY   </t>
  </si>
  <si>
    <t xml:space="preserve">    DIESEL                   </t>
  </si>
  <si>
    <t xml:space="preserve">    FACTORY MAINTENANCE      </t>
  </si>
  <si>
    <t xml:space="preserve">    CARRIAGE INWARD-FACTORY  </t>
  </si>
  <si>
    <t xml:space="preserve">Total (Rupees)               </t>
  </si>
  <si>
    <t xml:space="preserve">            OT- FACTORY WORKERS </t>
  </si>
  <si>
    <t>annual custodian fee</t>
  </si>
  <si>
    <t>rama raju</t>
  </si>
  <si>
    <t>land</t>
  </si>
  <si>
    <t>building</t>
  </si>
  <si>
    <t>electrical installation</t>
  </si>
  <si>
    <t>other income</t>
  </si>
  <si>
    <t>fright outward</t>
  </si>
  <si>
    <t xml:space="preserve">            adi medical</t>
  </si>
  <si>
    <t xml:space="preserve">    CUSTOMS DUTY             </t>
  </si>
  <si>
    <t xml:space="preserve">    D.V.S.SHARMA             </t>
  </si>
  <si>
    <t xml:space="preserve">    HDFC CAR LOAN            </t>
  </si>
  <si>
    <t xml:space="preserve">    STAFF                    </t>
  </si>
  <si>
    <t xml:space="preserve">        V.SATISH KUMAR       </t>
  </si>
  <si>
    <t xml:space="preserve">        VITHAL KULKARNI      </t>
  </si>
  <si>
    <t xml:space="preserve">        BHANU                </t>
  </si>
  <si>
    <t xml:space="preserve">        LAXMAN-DRIVER        </t>
  </si>
  <si>
    <t xml:space="preserve">        BHAVANI              </t>
  </si>
  <si>
    <t xml:space="preserve">        ARUN KUMAR THAKUR    </t>
  </si>
  <si>
    <t xml:space="preserve">        G.NAGA LAXMI         </t>
  </si>
  <si>
    <t xml:space="preserve">        SATISH M H           </t>
  </si>
  <si>
    <t xml:space="preserve">        TOTHA SATISH         </t>
  </si>
  <si>
    <t xml:space="preserve">        LAXMINARAYANA S      </t>
  </si>
  <si>
    <t xml:space="preserve">        HARI RAM PRASAD      </t>
  </si>
  <si>
    <t xml:space="preserve">        ADONI SURESH         </t>
  </si>
  <si>
    <t xml:space="preserve">        P.VIMALA             </t>
  </si>
  <si>
    <t xml:space="preserve"> IMPREST-RADHA KRISHNA       </t>
  </si>
  <si>
    <t xml:space="preserve">    ELECTRICITY CHARGES PAYAB</t>
  </si>
  <si>
    <t xml:space="preserve">        LOKESH KUMAR K       </t>
  </si>
  <si>
    <t xml:space="preserve">        HARISH GODWANI       </t>
  </si>
  <si>
    <t xml:space="preserve">        KUNJIRAM PRAKASH M   </t>
  </si>
  <si>
    <t xml:space="preserve"> SUNDRY DEBTORS              </t>
  </si>
  <si>
    <t xml:space="preserve">    R R Pharmaceuticals.     </t>
  </si>
  <si>
    <t xml:space="preserve">    YASHODA KRISHNA AUTOMOBIL</t>
  </si>
  <si>
    <t xml:space="preserve">    VSN COMMERCIALS PVT LTD  </t>
  </si>
  <si>
    <t xml:space="preserve">    ID SURGICAL PHARMACEUTICA</t>
  </si>
  <si>
    <t xml:space="preserve">    BALAJI SURGICAL          </t>
  </si>
  <si>
    <t xml:space="preserve">    Shree Gajalakshmi Pharmac</t>
  </si>
  <si>
    <t xml:space="preserve">    SRI LAXMI VENKATESWARA EN</t>
  </si>
  <si>
    <t xml:space="preserve">    GAJALAKSHMI PHARMACEUTICA</t>
  </si>
  <si>
    <t xml:space="preserve"> SUNDRY CREDITORS-OLD        </t>
  </si>
  <si>
    <t xml:space="preserve">    ORBIT PETROLEUM          </t>
  </si>
  <si>
    <t xml:space="preserve">    G KRISHNA MURTHY &amp; SONS  </t>
  </si>
  <si>
    <t xml:space="preserve">    BUYWEL AGENCIES PRIVATE L</t>
  </si>
  <si>
    <t xml:space="preserve">    GLOBAL TECHNICS          </t>
  </si>
  <si>
    <t xml:space="preserve">    ISOE PRINTPACK INDUSTRIES</t>
  </si>
  <si>
    <t xml:space="preserve">    KOVAC MED CO., LTD       </t>
  </si>
  <si>
    <t xml:space="preserve">    R.S. ARORA RUBBERS CORPOR</t>
  </si>
  <si>
    <t xml:space="preserve">    SHRINATH CARTONS PRIVATE </t>
  </si>
  <si>
    <t xml:space="preserve">    SVG FILTERATIONS         </t>
  </si>
  <si>
    <t xml:space="preserve">    SRIVEN MARKETING         </t>
  </si>
  <si>
    <t xml:space="preserve">    SANDHYA SARAN POLYNULES P</t>
  </si>
  <si>
    <t xml:space="preserve">    SRI MANJUNADHA POLYMERS  </t>
  </si>
  <si>
    <t xml:space="preserve">    SANTU AEE INDUSTRIES     </t>
  </si>
  <si>
    <t xml:space="preserve">    SRI GLOBAL TECHNOLOGIES  </t>
  </si>
  <si>
    <t xml:space="preserve">    TATA AIG INSURANCE       </t>
  </si>
  <si>
    <t xml:space="preserve">    JEEVAN ENGINEERING WORKS </t>
  </si>
  <si>
    <t xml:space="preserve">    INTERTECK                </t>
  </si>
  <si>
    <t xml:space="preserve">    HARE KRISHNA TRANSPORT CO</t>
  </si>
  <si>
    <t xml:space="preserve">    SRI SUDHAKAR DASARI      </t>
  </si>
  <si>
    <t xml:space="preserve">    K.S.C &amp; ASSOCIATES       </t>
  </si>
  <si>
    <t xml:space="preserve">    S.S.REDDY &amp; ASSOCIATES   </t>
  </si>
  <si>
    <t xml:space="preserve">    SUGAM PARIVAHAN PVT LTD  </t>
  </si>
  <si>
    <t xml:space="preserve">    TOOLROOM MAINTENANCE     </t>
  </si>
  <si>
    <t xml:space="preserve"> OFFICE EXP                  </t>
  </si>
  <si>
    <t xml:space="preserve">    PRINTING &amp; STATIONERY    </t>
  </si>
  <si>
    <t xml:space="preserve">    STAFF WELFARE-OFFICE     </t>
  </si>
  <si>
    <t xml:space="preserve">    TRAVELING &amp; CONVEYANCE EX</t>
  </si>
  <si>
    <t xml:space="preserve">    ELECTRICITY CHARGES-OFFIC</t>
  </si>
  <si>
    <t xml:space="preserve">    RATES &amp; TAXES            </t>
  </si>
  <si>
    <t xml:space="preserve">    CONVEYANCE               </t>
  </si>
  <si>
    <t xml:space="preserve">    FIELD STAFF EXPENSES     </t>
  </si>
  <si>
    <t xml:space="preserve">    OFFICE MAINTENANCE       </t>
  </si>
  <si>
    <t xml:space="preserve">    TELEPHONE EXPENSES       </t>
  </si>
  <si>
    <t xml:space="preserve">    INSURANCE                </t>
  </si>
  <si>
    <t xml:space="preserve">    SALES TAX EXPENSES       </t>
  </si>
  <si>
    <t xml:space="preserve">    ANNUAL COSTODIAN FEE     </t>
  </si>
  <si>
    <t xml:space="preserve">    COMPUTER MAINTENANCE     </t>
  </si>
  <si>
    <t xml:space="preserve">    POSTAGE &amp; COURIERS       </t>
  </si>
  <si>
    <t xml:space="preserve">    SMALL AMTS WRITTEN OFF   </t>
  </si>
  <si>
    <t xml:space="preserve">    VEHICLE MAINTENANCE      </t>
  </si>
  <si>
    <t xml:space="preserve">    CONSULTANCY CHARGES      </t>
  </si>
  <si>
    <t xml:space="preserve"> MARKETING EXP               </t>
  </si>
  <si>
    <t xml:space="preserve">    MARKETING DEVELOPMENT EXP</t>
  </si>
  <si>
    <t xml:space="preserve">    DISCOUNTS &amp; SCHEMES      </t>
  </si>
  <si>
    <t xml:space="preserve">    BUSINESS PROMOTION EXP   </t>
  </si>
  <si>
    <t xml:space="preserve"> FINANCE                     </t>
  </si>
  <si>
    <t xml:space="preserve">    INTEREST ON WC CAPITAL   </t>
  </si>
  <si>
    <t xml:space="preserve">    MEDICAL EXPENSES -                            </t>
  </si>
  <si>
    <t>sales tax exp</t>
  </si>
  <si>
    <t>small amts written off</t>
  </si>
  <si>
    <t>insurance</t>
  </si>
  <si>
    <t xml:space="preserve">    BONUS                    </t>
  </si>
  <si>
    <t>bonus</t>
  </si>
  <si>
    <t>Balance as at 1st April, 2019</t>
  </si>
  <si>
    <t>Balance as on April 1,2019</t>
  </si>
  <si>
    <t>Balance as on Dec 31,2019</t>
  </si>
  <si>
    <t>Balance as on Dec 31, 2019</t>
  </si>
  <si>
    <t>Year ended 
March 31, 2019</t>
  </si>
  <si>
    <t xml:space="preserve">    M SRINIVAS               </t>
  </si>
  <si>
    <t xml:space="preserve">    SYNDICATE BANK           </t>
  </si>
  <si>
    <t xml:space="preserve">    KOTAK CAR LOAN           </t>
  </si>
  <si>
    <t xml:space="preserve">    VK PHARMA (NEW)          </t>
  </si>
  <si>
    <t xml:space="preserve">    Pearl Surgical &amp; Pharmace</t>
  </si>
  <si>
    <t xml:space="preserve">    M GULAMALI &amp; SONS        </t>
  </si>
  <si>
    <t xml:space="preserve">    NIJAMI BROTHERS          </t>
  </si>
  <si>
    <t xml:space="preserve">    EASTERN REISN EXPENDITION</t>
  </si>
  <si>
    <t xml:space="preserve">    CLOUDLASERS BROADBAND    </t>
  </si>
  <si>
    <t xml:space="preserve">    SRI REVOOS HEAT ENGINEERS</t>
  </si>
  <si>
    <t xml:space="preserve">    NAJMI BROTHERS           </t>
  </si>
  <si>
    <t xml:space="preserve">    NARENDRA KUMAR &amp; ASSOCIAT</t>
  </si>
  <si>
    <t xml:space="preserve">    KOMMINENI ASSOCIATES     </t>
  </si>
  <si>
    <t xml:space="preserve">    SHRI RAJESHWAR ENTERPRISE</t>
  </si>
  <si>
    <t xml:space="preserve">    BATCO TRANSPORT          </t>
  </si>
  <si>
    <t xml:space="preserve">    MCPP INDIA PRIVATE LIMITE</t>
  </si>
  <si>
    <t xml:space="preserve">    SAI MARKETING AGENCIES   </t>
  </si>
  <si>
    <t>TRAIL BALANCE FOR THE PERIOD 01.04.19 TO 31.03.20</t>
  </si>
  <si>
    <t>SYNDICATE BANK</t>
  </si>
  <si>
    <t xml:space="preserve">        SUHAS PATIL          </t>
  </si>
  <si>
    <t>interest recd</t>
  </si>
  <si>
    <t>31-03-2020</t>
  </si>
  <si>
    <t>Statement of changes in equity for the Year ended 31stMar, 2020</t>
  </si>
  <si>
    <t>Balance as at 31st Mar, 2020</t>
  </si>
  <si>
    <t>01.04.19</t>
  </si>
  <si>
    <t>31.03.20</t>
  </si>
  <si>
    <t>field staff payable(old)</t>
  </si>
  <si>
    <t>rates &amp; taxes</t>
  </si>
  <si>
    <t>bse ltd</t>
  </si>
  <si>
    <t>audit fee</t>
  </si>
  <si>
    <t>bonus payable</t>
  </si>
  <si>
    <t xml:space="preserve">bonus  </t>
  </si>
  <si>
    <t>grautity</t>
  </si>
  <si>
    <t>grautity payable</t>
  </si>
  <si>
    <t>gratuity</t>
  </si>
  <si>
    <t>For the year ended 
March 31, 2020</t>
  </si>
  <si>
    <t xml:space="preserve">    SGST                     </t>
  </si>
  <si>
    <t xml:space="preserve">    CGST                     </t>
  </si>
  <si>
    <t xml:space="preserve">    AUDIT FEE PAYABLE        </t>
  </si>
  <si>
    <t xml:space="preserve">    GANESH MEDICINE          </t>
  </si>
  <si>
    <t xml:space="preserve">    AUDIT FEE                </t>
  </si>
  <si>
    <t xml:space="preserve">    INTEREST ON RECD</t>
  </si>
  <si>
    <t>INTEREST PAID</t>
  </si>
  <si>
    <t>BANK CHARGES</t>
  </si>
  <si>
    <t>SUNDRY DEBOTRS</t>
  </si>
  <si>
    <t>ADI MIEDICAL</t>
  </si>
  <si>
    <t>ADV FROM CUSTMERS</t>
  </si>
  <si>
    <t>SRI RAMA PRODUCTS</t>
  </si>
  <si>
    <t>SRI RAMA LABOUR CON</t>
  </si>
  <si>
    <t>SUDKAR REDDY</t>
  </si>
  <si>
    <t>SALARIES PAYABLE OTEHRS</t>
  </si>
  <si>
    <t>PROVISION</t>
  </si>
  <si>
    <t>Contactor Wages</t>
  </si>
  <si>
    <t>new entries in focus</t>
  </si>
  <si>
    <t>raw material</t>
  </si>
  <si>
    <t>cgst</t>
  </si>
  <si>
    <t>sgst</t>
  </si>
  <si>
    <t>mahalami poly</t>
  </si>
  <si>
    <t>igst</t>
  </si>
  <si>
    <t>mcpp india</t>
  </si>
  <si>
    <t>Statement of Profit and Loss and Other Comprehensive Income  for the Period ended Mar 31, 2020</t>
  </si>
  <si>
    <t>As at March 31, 2020</t>
  </si>
  <si>
    <t>Kotak Bank-356</t>
  </si>
  <si>
    <t>Kotak Bank-295</t>
  </si>
  <si>
    <t>Andhra Bank</t>
  </si>
  <si>
    <t>Syndicate Bank</t>
  </si>
  <si>
    <t>Consumbles &amp; Stores and Spares</t>
  </si>
  <si>
    <t xml:space="preserve">  From Individuals other than banks</t>
  </si>
  <si>
    <t>A.BALAGOPAL</t>
  </si>
  <si>
    <t>The details of the related party transactions entered into by the Company during the year ended March 31, 2020 and balances as at March 31, 2020 are as follows:</t>
  </si>
  <si>
    <r>
      <rPr>
        <b/>
        <sz val="12"/>
        <rFont val="Bookman Old Style"/>
        <family val="1"/>
      </rPr>
      <t>a) Foreign exchange risk</t>
    </r>
    <r>
      <rPr>
        <sz val="12"/>
        <rFont val="Bookman Old Style"/>
        <family val="1"/>
      </rPr>
      <t xml:space="preserve">
</t>
    </r>
  </si>
  <si>
    <r>
      <rPr>
        <b/>
        <sz val="12"/>
        <rFont val="Bookman Old Style"/>
        <family val="1"/>
      </rPr>
      <t>Note 21.</t>
    </r>
    <r>
      <rPr>
        <sz val="12"/>
        <rFont val="Bookman Old Style"/>
        <family val="1"/>
      </rPr>
      <t xml:space="preserve"> Deferred Tax Asset to be recognized only when there is a virtual certainty that the created Deferred Tax Asset  would be adjusted /recovered. Hence on a prudence basis, Deferred Tax Asset has not been recognized during the current year.</t>
    </r>
  </si>
  <si>
    <r>
      <rPr>
        <b/>
        <sz val="12"/>
        <rFont val="Bookman Old Style"/>
        <family val="1"/>
      </rPr>
      <t>Note 22.</t>
    </r>
    <r>
      <rPr>
        <sz val="12"/>
        <rFont val="Bookman Old Style"/>
        <family val="1"/>
      </rPr>
      <t xml:space="preserve"> The information regarding micro, small and medium enterprises has been identified on the basis of information available with the company. Based on the information available with the Company, there are no micro, small and medium enterprises to whom the company has paid interest or any interest payable on outstanding (under the provisions of Section 16 of the Micro, Small and Medium Enterprises Development Act, 2006) during the year ending March 31, 2019.</t>
    </r>
  </si>
  <si>
    <r>
      <rPr>
        <b/>
        <sz val="12"/>
        <color theme="1"/>
        <rFont val="Bookman Old Style"/>
        <family val="1"/>
      </rPr>
      <t>Note 26. Confirmation of Closing Balances:</t>
    </r>
    <r>
      <rPr>
        <sz val="12"/>
        <color theme="1"/>
        <rFont val="Bookman Old Style"/>
        <family val="1"/>
      </rPr>
      <t xml:space="preserve">
The balances of Sundry Debtors, Sundry Creditors, Loans and advances payable(including Advance from customers) or receivable and regarding the classification of long term loans under on demand loans are taken as per books and they are subject to confirmation and reconciliation as the confirmation are awaited. </t>
    </r>
  </si>
  <si>
    <t>DOMESTIC COMPANY</t>
  </si>
  <si>
    <t>ASS.YEAR</t>
  </si>
  <si>
    <t>PREV.YEAR</t>
  </si>
  <si>
    <t>Statement Showing Computation of Total Income</t>
  </si>
  <si>
    <t>Year</t>
  </si>
  <si>
    <t>Filling</t>
  </si>
  <si>
    <t>Total Loss</t>
  </si>
  <si>
    <t>Dep. Loss</t>
  </si>
  <si>
    <t>B Loss</t>
  </si>
  <si>
    <t>Excess 
Tax Paid</t>
  </si>
  <si>
    <t>Profit did not 
setoff against 
losses</t>
  </si>
  <si>
    <t>INCOME FROM BUSINESS</t>
  </si>
  <si>
    <t>(Rs.)</t>
  </si>
  <si>
    <t>AY</t>
  </si>
  <si>
    <t>2008-09</t>
  </si>
  <si>
    <t>29-09-2008</t>
  </si>
  <si>
    <t>2009-10</t>
  </si>
  <si>
    <t>29-09-2009</t>
  </si>
  <si>
    <t>Net Profit as per Profit and Loss Account</t>
  </si>
  <si>
    <t>2010-11</t>
  </si>
  <si>
    <t>14-10-2010</t>
  </si>
  <si>
    <t>2011-12</t>
  </si>
  <si>
    <t>29-09-2011</t>
  </si>
  <si>
    <t xml:space="preserve">Note: 375772/- </t>
  </si>
  <si>
    <t>Add/(Less):</t>
  </si>
  <si>
    <t>Adjustments u/s 28 to 44D</t>
  </si>
  <si>
    <t>2012-13</t>
  </si>
  <si>
    <t>28-09-2012</t>
  </si>
  <si>
    <t xml:space="preserve">Note: 279028/- </t>
  </si>
  <si>
    <t>Audit Fee</t>
  </si>
  <si>
    <t>2013-14</t>
  </si>
  <si>
    <t>28-09-2013</t>
  </si>
  <si>
    <t xml:space="preserve">Note: 1490449/- </t>
  </si>
  <si>
    <t>2014-15</t>
  </si>
  <si>
    <t>01-10-2014</t>
  </si>
  <si>
    <t xml:space="preserve">Note: 1665570/- </t>
  </si>
  <si>
    <t>2015-16</t>
  </si>
  <si>
    <t>30-09-2015</t>
  </si>
  <si>
    <t>Depreciation Adjustment</t>
  </si>
  <si>
    <t>Depreciation as per Income Tax Act, 1961</t>
  </si>
  <si>
    <t xml:space="preserve">Profit and Gains from Business </t>
  </si>
  <si>
    <t>Set off of carried forward losses</t>
  </si>
  <si>
    <t>Business Loss</t>
  </si>
  <si>
    <t>Depreciation Allowance</t>
  </si>
  <si>
    <t>MAT Credit Statement</t>
  </si>
  <si>
    <t>MC</t>
  </si>
  <si>
    <t>Gross Total Income</t>
  </si>
  <si>
    <t>2016-17</t>
  </si>
  <si>
    <t>Total Income/(Loss)</t>
  </si>
  <si>
    <t>Total Income/(Loss) Rounded Off to</t>
  </si>
  <si>
    <t>(a)</t>
  </si>
  <si>
    <t>TAX UNDER SECTION 115JB</t>
  </si>
  <si>
    <t>Loss</t>
  </si>
  <si>
    <t>Dep</t>
  </si>
  <si>
    <t>BL</t>
  </si>
  <si>
    <t>Add/Less:</t>
  </si>
  <si>
    <t>Adjustments required under clauses (a) to (f) of Explanation of sub-section (2) and</t>
  </si>
  <si>
    <t>Clauses (I) to (VII) of Explanation of sub-section (2) of Section 115JB</t>
  </si>
  <si>
    <t>Add: Inadmisable Expenses</t>
  </si>
  <si>
    <t>Adjusted Book Profit</t>
  </si>
  <si>
    <t>(b)</t>
  </si>
  <si>
    <t>Tax Payable [Higher of (a) &amp; (b)]</t>
  </si>
  <si>
    <t>Deferred Tax Calculation</t>
  </si>
  <si>
    <t>Add: Surcharge @ 7%</t>
  </si>
  <si>
    <t>Tax and Surcharge Payable</t>
  </si>
  <si>
    <t>MAT</t>
  </si>
  <si>
    <t>Education Cess @ 4% on Tax and Surcharge</t>
  </si>
  <si>
    <t>Tax, Surcharge and Education Cess Payable</t>
  </si>
  <si>
    <t>Less: Mat Credit</t>
  </si>
  <si>
    <t>Add: Interest U/s 234A (As Per Annexure )</t>
  </si>
  <si>
    <t>Add: Interest U/s 234C (As Per Annexure )</t>
  </si>
  <si>
    <t>Add: Interest U/s 234B (As Per Annexure )</t>
  </si>
  <si>
    <t>Tax and Interest Payable</t>
  </si>
  <si>
    <t>Less: Details of Tax Paid</t>
  </si>
  <si>
    <t>TDS (Form 16 A's Enclosed)</t>
  </si>
  <si>
    <t xml:space="preserve">Self Assessement Tax Paid </t>
  </si>
  <si>
    <t>Tax to be Paid/(Refund Due)</t>
  </si>
  <si>
    <t>Written off of liability</t>
  </si>
  <si>
    <t>Profit on sale of land and buildings</t>
  </si>
  <si>
    <t xml:space="preserve">To </t>
  </si>
  <si>
    <t>PF &amp; Other statutory payments</t>
  </si>
  <si>
    <t>Depreciaiton Statement as per Income Tax Act</t>
  </si>
  <si>
    <t>AY 2020-21</t>
  </si>
  <si>
    <t>WDV</t>
  </si>
  <si>
    <t xml:space="preserve">Less: </t>
  </si>
  <si>
    <t>Un-obsorved Depreciation</t>
  </si>
  <si>
    <t>Restricted to</t>
  </si>
  <si>
    <t>Net Block as per Companeis Act</t>
  </si>
  <si>
    <t>WDV as per IT Act</t>
  </si>
  <si>
    <t>Timing difference</t>
  </si>
  <si>
    <t>Less: already provided till 31-03-2019</t>
  </si>
  <si>
    <t>Deff Tax LIABILITY till 31-03-2020</t>
  </si>
  <si>
    <t>For the year ended 31-03-2020</t>
  </si>
  <si>
    <t>For M M REDDY &amp; CO.,</t>
  </si>
  <si>
    <t>Firm Reg No:010371S</t>
  </si>
  <si>
    <t>CA. M. Madhusudhana Reddy</t>
  </si>
  <si>
    <t>Membership No: 213077</t>
  </si>
  <si>
    <t>Date : 24-06-2020</t>
  </si>
  <si>
    <t>CASH FLOW STATEMENT FOR THE HALF YEAR ENDED 31st March, 2020</t>
  </si>
  <si>
    <t>Total comprehensive income for the year (V+ VI)</t>
  </si>
  <si>
    <t xml:space="preserve">    Total current liabilities (C)</t>
  </si>
  <si>
    <t>(a) Changes in revaluation surplus</t>
  </si>
  <si>
    <t>(e) Others (specify nature)</t>
  </si>
  <si>
    <t>(e)  Others (specify nature)</t>
  </si>
  <si>
    <t>(d) Fair value changes relating to own  
     credit risk</t>
  </si>
  <si>
    <t>(b) Remeasurements of the defined benefit 
     liabilities / (asset)</t>
  </si>
  <si>
    <t>(c) Equity instruments through other 
    comprehensive income</t>
  </si>
  <si>
    <t>(ii) Income tax relating to items that will 
     not be reclassified to profit or loss</t>
  </si>
  <si>
    <t>(a) Exchange differences in translating 
     the financial statements of foreign   
     operations</t>
  </si>
  <si>
    <t>(b) Debt instruments through other 
     comprehensive income</t>
  </si>
  <si>
    <t>(c) Effective portion of gains and loss on  
    designated portion of hedging  
    instruments in a cash flow hedge</t>
  </si>
  <si>
    <t>(d) Share of other comprehensive income 
    of equity  accountedinvestees</t>
  </si>
  <si>
    <t>(ii) Income tax on items that may be 
     reclassified to profit or loss</t>
  </si>
  <si>
    <t xml:space="preserve">(i) Basic </t>
  </si>
  <si>
    <t>(ii) Diluted.</t>
  </si>
  <si>
    <t>Earnings per equity share (for discontinued operation):</t>
  </si>
  <si>
    <t>Earning per equity share (for Continuing Opertations)</t>
  </si>
  <si>
    <t>XI.</t>
  </si>
  <si>
    <t>XII.</t>
  </si>
  <si>
    <t>Earnings per equity share 
(for Continued and discontinued operation):</t>
  </si>
  <si>
    <t>Total other comprehensive income</t>
  </si>
  <si>
    <t>A (i) Items that will not be recycled to profit       
       or loss</t>
  </si>
  <si>
    <t>B (i) Items that may be reclassified to profit 
      or loss</t>
  </si>
  <si>
    <t>Income tax expense recognised in profit or loss</t>
  </si>
  <si>
    <t>Finance costs recognised in profit or loss</t>
  </si>
  <si>
    <t>Investment income recognised in profit or loss</t>
  </si>
  <si>
    <t>Gain on disposal of property, plant and equipment</t>
  </si>
  <si>
    <t>Gain on disposal of a subsidiary</t>
  </si>
  <si>
    <t>Gain on disposal of interest in former associate</t>
  </si>
  <si>
    <t>Net (gain)/loss recorded in profit or loss on financial liabilities designated as at fair value through profit or loss</t>
  </si>
  <si>
    <t>Net (gain)/loss arising on financial assets mandatorily measured at fair value through profit or loss</t>
  </si>
  <si>
    <t>Net loss/(gain) arising held for trading financial liabilities</t>
  </si>
  <si>
    <t>Hedge ineffectiveness on cash flow hedges</t>
  </si>
  <si>
    <t>Net (gain)/loss on disposal of available-for-sale financial assets</t>
  </si>
  <si>
    <t>Impairment loss recognised on trade receivables</t>
  </si>
  <si>
    <t>Reversal of impairment loss on trade receivables</t>
  </si>
  <si>
    <t>Depreciation and amortisation of non-current assets</t>
  </si>
  <si>
    <t>Impairment of non-current assets</t>
  </si>
  <si>
    <t>Net foreign exchange (gain)/loss</t>
  </si>
  <si>
    <t>Expense recognised in respect of equity-settled share-based payments</t>
  </si>
  <si>
    <t>Expense recognised in respect of shares issued in exchange for goods/services</t>
  </si>
  <si>
    <t>Amortisation of financial guarantee contracts</t>
  </si>
  <si>
    <t>Adjustment for:</t>
  </si>
  <si>
    <t>Increase in trade and other receivables</t>
  </si>
  <si>
    <t>(Increase)/decrease in amounts due from customers under construction contracts</t>
  </si>
  <si>
    <t>(Increase)/decrease in inventories</t>
  </si>
  <si>
    <t>(Increase)/decrease in other assets</t>
  </si>
  <si>
    <t>Decrease in trade and other payables</t>
  </si>
  <si>
    <t>Increase/(decrease) in amounts due to customers under construction contracts</t>
  </si>
  <si>
    <t>Increase/(decrease) in provisions</t>
  </si>
  <si>
    <t>(Decrease)/increase in deferred revenue</t>
  </si>
  <si>
    <t xml:space="preserve">(Decrease)/increase in other liabilities </t>
  </si>
  <si>
    <t>Cash generated from operations</t>
  </si>
  <si>
    <t xml:space="preserve">     - Income taxes paid</t>
  </si>
  <si>
    <t>Movement for Working Capital:</t>
  </si>
  <si>
    <t>B. CASH FLOW FROM INVESTING ACTIVITIES:</t>
  </si>
  <si>
    <t>Payments to acquire financial assets</t>
  </si>
  <si>
    <t>Proceeds on sale of financial assets</t>
  </si>
  <si>
    <t>Interest received</t>
  </si>
  <si>
    <t>Royalties and other investment income received</t>
  </si>
  <si>
    <t>Dividends received from associates</t>
  </si>
  <si>
    <t>Other dividends received</t>
  </si>
  <si>
    <t>Amounts advanced to related parties</t>
  </si>
  <si>
    <t>Repayments by related parties</t>
  </si>
  <si>
    <t>Payments for property, plant and equipment</t>
  </si>
  <si>
    <t>Proceeds from disposal of property, plant and equipment</t>
  </si>
  <si>
    <t>Payments for investment property</t>
  </si>
  <si>
    <t>Proceeds from disposal of investment property</t>
  </si>
  <si>
    <t>Payments for intangible assets</t>
  </si>
  <si>
    <t>Net cash outflow on acquisition of subsidiaries</t>
  </si>
  <si>
    <t>Net cash inflow on disposal of subsidiary</t>
  </si>
  <si>
    <t>Net cash inflow on disposal of associate</t>
  </si>
  <si>
    <t>Proceeds from issue of equity instruments of the Company</t>
  </si>
  <si>
    <t xml:space="preserve">Payment for share issue costs </t>
  </si>
  <si>
    <t>Payment for share buy-back costs</t>
  </si>
  <si>
    <t xml:space="preserve">Proceeds from issue of redeemable preference shares </t>
  </si>
  <si>
    <t>Proceeds from issue of perpetual notes</t>
  </si>
  <si>
    <t>Payment for debt issue costs Proceeds from borrowings</t>
  </si>
  <si>
    <t>Repayment of borrowings</t>
  </si>
  <si>
    <t>Proceeds from government loans</t>
  </si>
  <si>
    <t>Proceeds on disposal of partial interest in a subsidiary that does  not involve loss of control</t>
  </si>
  <si>
    <t>Dividends paid on redeemable cumulative preference shares</t>
  </si>
  <si>
    <t>Dividends paid to owners of the Company</t>
  </si>
  <si>
    <t>Interest paid</t>
  </si>
  <si>
    <t>Proceeds from issue of convertible notes</t>
  </si>
  <si>
    <t>Payment for buy-back of shares</t>
  </si>
  <si>
    <t>CASH FLOW FROM FINANCING ACTIVITIES</t>
  </si>
  <si>
    <t>Effects of exchange rate changes on the balance of cash held in foreign currencies</t>
  </si>
  <si>
    <t>Cash and cash equivalents at the end of the year as on 31.03.2020</t>
  </si>
  <si>
    <t>Cash and cash equivalents at the beginning of the year 
1.04.2019</t>
  </si>
  <si>
    <t>Reconciliation of cash and cash equivalents as per the cash flow Statement</t>
  </si>
  <si>
    <t>Bank overdraft (Note _   )</t>
  </si>
  <si>
    <t>Balance as per statement of cash flows</t>
  </si>
  <si>
    <r>
      <t>Cash and cash equivalents (Note</t>
    </r>
    <r>
      <rPr>
        <u/>
        <sz val="12"/>
        <color theme="1"/>
        <rFont val="Bookman Old Style"/>
        <family val="1"/>
      </rPr>
      <t xml:space="preserve">   </t>
    </r>
    <r>
      <rPr>
        <sz val="12"/>
        <color theme="1"/>
        <rFont val="Bookman Old Style"/>
        <family val="1"/>
      </rPr>
      <t>)</t>
    </r>
  </si>
  <si>
    <t>Current Borrowings</t>
  </si>
  <si>
    <t>Particualrs</t>
  </si>
  <si>
    <t>Cash Flow</t>
  </si>
  <si>
    <t xml:space="preserve">Notes: </t>
  </si>
  <si>
    <t>The above cash flkow statement prepared under Indirect Method as set out in the Indian Accounting Standard (IND AS -7)  Statement of Cash Flow</t>
  </si>
  <si>
    <t>Reciepts</t>
  </si>
  <si>
    <t>Payments</t>
  </si>
  <si>
    <t>Non Current Borrowings</t>
  </si>
  <si>
    <t>Cash Flow Statement</t>
  </si>
  <si>
    <t xml:space="preserve">( c) </t>
  </si>
  <si>
    <t>Changes in Liability Arrising from Financing Activity</t>
  </si>
  <si>
    <t>Sangam Health Care Products Limited  (“the Company”) was ioncorporated in india in the year 1993 having its Registred office at Amarchand Sharma Complex,SP Road, Secundrabad,Telangana 
The Company is engaged in the business of manufacturing and trading of medical products. the share of the company are listed in (Bomaby Stock Exchange and National Stock Exchange)</t>
  </si>
  <si>
    <t>Current and Non Current Classification</t>
  </si>
  <si>
    <t>• It is expected to be realised within 12 months after the reporting date; or</t>
  </si>
  <si>
    <t>• All other assets are classified as non-current.</t>
  </si>
  <si>
    <t>• A liability is classified as current when it satisfies any of the following criteria:</t>
  </si>
  <si>
    <t>• It is expected to be settled in the Company’s normal operating cycle;</t>
  </si>
  <si>
    <t>• It is held primarily for the purpose of being traded</t>
  </si>
  <si>
    <t>• It is due to be settled within 12 months after the reporting date; or the Company does not have   
  an unconditional right to defer settlement of the liability for at least 12 months afterthe 
  reporting date. Terms of a liability that could, at the option of the counterparty, result in its 
  settlement by the issue of equity instruments do not affect its classification</t>
  </si>
  <si>
    <t>The Company presents assets and liabilities in the balance sheet based on current / non-current
classification. An asset is classified as current when it satisfies any of the following criteria: it is expected to be realised in, or is intended for sale or consumption in, the Company’s normal operating cycle.it is held primarily for the purpose of being traded;</t>
  </si>
  <si>
    <t>• It is cash or cash equivalent unless it is restricted from being exchanged or used to settle a 
   liability for at least 12 months after the reporting date.</t>
  </si>
  <si>
    <t>Particular</t>
  </si>
  <si>
    <t>Deletions</t>
  </si>
  <si>
    <t>Depreciation/Impairment</t>
  </si>
  <si>
    <t xml:space="preserve">Depreciation for the year </t>
  </si>
  <si>
    <t>Disposals</t>
  </si>
  <si>
    <t>Net Book Value</t>
  </si>
  <si>
    <t>Cost/Deemed Cost:</t>
  </si>
  <si>
    <t>computer Software</t>
  </si>
  <si>
    <t>Patentents</t>
  </si>
  <si>
    <t>Trade marks</t>
  </si>
  <si>
    <t>Note 4 Fiancial Assets</t>
  </si>
  <si>
    <t xml:space="preserve">Non - Current Investments in </t>
  </si>
  <si>
    <t>Investment in partnerships</t>
  </si>
  <si>
    <t>investment in Preference Shares</t>
  </si>
  <si>
    <t>invetment in Joint Ventures</t>
  </si>
  <si>
    <t>Current Investments</t>
  </si>
  <si>
    <t>Investments in Mutual Funds Quoted</t>
  </si>
  <si>
    <t>Quoted:</t>
  </si>
  <si>
    <t>Agreegate book value</t>
  </si>
  <si>
    <t>Agreegate Market  value</t>
  </si>
  <si>
    <t>Un Quoted:</t>
  </si>
  <si>
    <t>Trade Receivables</t>
  </si>
  <si>
    <t>-From Related party</t>
  </si>
  <si>
    <t>-From Others</t>
  </si>
  <si>
    <t>Less: allowance for doubtfull debts</t>
  </si>
  <si>
    <t>Total Trade Receivables</t>
  </si>
  <si>
    <t>Note 4.4</t>
  </si>
  <si>
    <t xml:space="preserve">Loans </t>
  </si>
  <si>
    <t>To related parties</t>
  </si>
  <si>
    <t>to other boady corporate</t>
  </si>
  <si>
    <t>to employees</t>
  </si>
  <si>
    <t>Investments in quoted shares</t>
  </si>
  <si>
    <t>investment in unquoted shares of subsidiaries</t>
  </si>
  <si>
    <t>Securirty Deposits:</t>
  </si>
  <si>
    <t>Loans :</t>
  </si>
  <si>
    <t>Doubtful:</t>
  </si>
  <si>
    <t>Unsecured and considered good:</t>
  </si>
  <si>
    <t>Secured and considered good:</t>
  </si>
  <si>
    <t>Total Non Current Investments</t>
  </si>
  <si>
    <t>Less: allowances for Doubfull loans</t>
  </si>
  <si>
    <t>Total Loans</t>
  </si>
  <si>
    <t>Notes:</t>
  </si>
  <si>
    <t>Considered fgood</t>
  </si>
  <si>
    <t>Considered Doubt full, Provided:</t>
  </si>
  <si>
    <t>Note 4.5</t>
  </si>
  <si>
    <t>Other Financial Assets</t>
  </si>
  <si>
    <t>Export benefits and entitlements</t>
  </si>
  <si>
    <t>Insurance claim receivable</t>
  </si>
  <si>
    <t>Advance towards equity/preference capital</t>
  </si>
  <si>
    <t>Derivative instruments:</t>
  </si>
  <si>
    <t>Derivative instruments at
fair value through OCI</t>
  </si>
  <si>
    <t>Cash flow hedges</t>
  </si>
  <si>
    <t>Foreign exchange forward contracts</t>
  </si>
  <si>
    <t>Derivative instruments at fair value through profit 
or loss through OCI</t>
  </si>
  <si>
    <t>Total derivative instruments at fair value  through OCI</t>
  </si>
  <si>
    <t>Derivatives not designated 
as hedges</t>
  </si>
  <si>
    <t>Foreign exchange forward 
contracts</t>
  </si>
  <si>
    <t>Embedded derivatives</t>
  </si>
  <si>
    <t>Total derivative 
instruments at fair value 
through profit or loss</t>
  </si>
  <si>
    <t>Total Other Financial Assets</t>
  </si>
  <si>
    <t xml:space="preserve">Note 5 </t>
  </si>
  <si>
    <t>Income Taxes</t>
  </si>
  <si>
    <t>a). Current Tax liability</t>
  </si>
  <si>
    <t>Add: Current tax payble for the  year</t>
  </si>
  <si>
    <t>Less: Taxes Paid</t>
  </si>
  <si>
    <t>Closing balances</t>
  </si>
  <si>
    <t>b). Current Tax Asset</t>
  </si>
  <si>
    <t xml:space="preserve">Opening Balance </t>
  </si>
  <si>
    <t>Less: Current tax payable for the year</t>
  </si>
  <si>
    <t>Closing Balance</t>
  </si>
  <si>
    <t>c). Differed Tax Asset</t>
  </si>
  <si>
    <t>Differed tax Asset - (A)</t>
  </si>
  <si>
    <t>Provision for Emplyoees</t>
  </si>
  <si>
    <t>Waranty Provisions</t>
  </si>
  <si>
    <t>Loss allowance on financial and Contract  Assets</t>
  </si>
  <si>
    <t>Differred tax Liabilty- (B)</t>
  </si>
  <si>
    <t>Total (A-B)</t>
  </si>
  <si>
    <t>Sub Total (A)</t>
  </si>
  <si>
    <t>Sub Total (B)</t>
  </si>
  <si>
    <t>Movement in Deferred Tax Assets</t>
  </si>
  <si>
    <t>Charge/(Credit) to Statement of P&amp;L</t>
  </si>
  <si>
    <t>Charge/(Credit) to OCI</t>
  </si>
  <si>
    <t>Provision for Employee Benefits</t>
  </si>
  <si>
    <t>Warranty Provisions</t>
  </si>
  <si>
    <t>Loss allowance on Financial and Contract Assets</t>
  </si>
  <si>
    <t>Written Down Value of Fixed Assets</t>
  </si>
  <si>
    <t>Accounting profit before income tax</t>
  </si>
  <si>
    <t>Adjustments in respect of current income tax of previous years</t>
  </si>
  <si>
    <t>Income exempted from tax</t>
  </si>
  <si>
    <t>Utilisation of previously unrecognised tax losses</t>
  </si>
  <si>
    <t>Non-deductible expenses for tax purposes</t>
  </si>
  <si>
    <t>Income tax at effective tax rate</t>
  </si>
  <si>
    <t>a) Capital commitments towards</t>
  </si>
  <si>
    <t>i) Property, plant and equipment</t>
  </si>
  <si>
    <t>contracts remaining to be executed on capital account not provided for (net of advances)</t>
  </si>
  <si>
    <t>ii) Uncalled amount on investment in shares</t>
  </si>
  <si>
    <t>iii) Financial commitment to provide capital/ loan to subsidiary company</t>
  </si>
  <si>
    <t>b) Contingent liabilities</t>
  </si>
  <si>
    <t>i) Claims against the Company not acknowledged as debts</t>
  </si>
  <si>
    <t>ii) Income Tax disputes</t>
  </si>
  <si>
    <t>iii) Indirect Tax disputes</t>
  </si>
  <si>
    <t>v) Financial Guarantees</t>
  </si>
  <si>
    <t>For the year ended March 31 2020</t>
  </si>
  <si>
    <t>For the year ended March 31, 2019</t>
  </si>
  <si>
    <r>
      <t xml:space="preserve">(a) </t>
    </r>
    <r>
      <rPr>
        <b/>
        <sz val="7"/>
        <color theme="1"/>
        <rFont val="Bookman Old Style"/>
        <family val="1"/>
      </rPr>
      <t xml:space="preserve"> </t>
    </r>
    <r>
      <rPr>
        <b/>
        <sz val="11"/>
        <color theme="1"/>
        <rFont val="Bookman Old Style"/>
        <family val="1"/>
      </rPr>
      <t>Reconciliation of tax expense and the accounting profit multiplied by India’s domestic tax rate for 31 March 2019 and 31 March 2020:</t>
    </r>
  </si>
  <si>
    <t>Deferred Tax Asset – A</t>
  </si>
  <si>
    <t>Deferred Tax Liability – B</t>
  </si>
  <si>
    <r>
      <t>(b)</t>
    </r>
    <r>
      <rPr>
        <b/>
        <sz val="7"/>
        <color theme="1"/>
        <rFont val="Bookman Old Style"/>
        <family val="1"/>
      </rPr>
      <t> </t>
    </r>
    <r>
      <rPr>
        <b/>
        <sz val="11"/>
        <color theme="1"/>
        <rFont val="Bookman Old Style"/>
        <family val="1"/>
      </rPr>
      <t>Income tax expense reported in the Statement of Profit and Loss-Contingent Liability and Commitments</t>
    </r>
  </si>
  <si>
    <t>As at 31st March 2020</t>
  </si>
  <si>
    <t>As at 31st March 2019</t>
  </si>
  <si>
    <t>(A) Other Non-Current Assets</t>
  </si>
  <si>
    <t>Capital Advances</t>
  </si>
  <si>
    <t>Advances other than capital advances</t>
  </si>
  <si>
    <t>— Advances to Related Parties</t>
  </si>
  <si>
    <t>— Other Advances</t>
  </si>
  <si>
    <t>Others (Specify nature)</t>
  </si>
  <si>
    <t>Total of Other Non-current Assets</t>
  </si>
  <si>
    <t>(B) Other Current Assets</t>
  </si>
  <si>
    <t>Security Deposits</t>
  </si>
  <si>
    <t>Advances to Related Parties</t>
  </si>
  <si>
    <t>Total of Other current Assets</t>
  </si>
  <si>
    <t>  Other Assets Non Current Assets</t>
  </si>
  <si>
    <t xml:space="preserve"> Security Deposits:</t>
  </si>
  <si>
    <t>Government Authorities - Electricity Dept</t>
  </si>
  <si>
    <t>Total Inventories</t>
  </si>
  <si>
    <t>Property under Development</t>
  </si>
  <si>
    <t>Notes 7.1.1</t>
  </si>
  <si>
    <t>Details of Inventories pledged as security for  liabilties as follows</t>
  </si>
  <si>
    <t>Carrying Amount
Rs.</t>
  </si>
  <si>
    <t>Security Pledged Against</t>
  </si>
  <si>
    <t xml:space="preserve">Note 7.1 </t>
  </si>
  <si>
    <t xml:space="preserve">Note 7.2 </t>
  </si>
  <si>
    <t>- From Related Parties</t>
  </si>
  <si>
    <t>- From Others</t>
  </si>
  <si>
    <t>Secured considered good</t>
  </si>
  <si>
    <t>Unsecured considered good</t>
  </si>
  <si>
    <t>Doubtfull</t>
  </si>
  <si>
    <t>Less: Proviuson for Doubt full debts</t>
  </si>
  <si>
    <t>Cash and Cash Equivalents</t>
  </si>
  <si>
    <t xml:space="preserve">Bank Balances  other than  Cash and Cash </t>
  </si>
  <si>
    <t>Total Cash and Cash Equivalents</t>
  </si>
  <si>
    <t xml:space="preserve">Cash and Cash Equivalents </t>
  </si>
  <si>
    <t>Bank and Cash Balances</t>
  </si>
  <si>
    <t>Fixed Deposits with maturity less than 3 months</t>
  </si>
  <si>
    <t>Cheques/dafts on hand</t>
  </si>
  <si>
    <t>Note 7.3</t>
  </si>
  <si>
    <t>On Current Accounts:</t>
  </si>
  <si>
    <t>Note 8:</t>
  </si>
  <si>
    <t>Non Current Assets Clasiffied as Held for Sale</t>
  </si>
  <si>
    <t>Plant, Propety and Equipment</t>
  </si>
  <si>
    <t>Non-Curret  Assets</t>
  </si>
  <si>
    <t>Total Non Current Assets Clasiffied as Held for Sale</t>
  </si>
  <si>
    <t>Note 7.3.1</t>
  </si>
  <si>
    <t xml:space="preserve">     Advances to Plant and Machinery</t>
  </si>
  <si>
    <t>Add: Taxes paid/TDS Receivable</t>
  </si>
  <si>
    <t>Capital Advances:</t>
  </si>
  <si>
    <t xml:space="preserve">     MAT Credit Entitilement</t>
  </si>
  <si>
    <t>Other Advances:</t>
  </si>
  <si>
    <t xml:space="preserve">      GST Input</t>
  </si>
  <si>
    <t xml:space="preserve">     Interest Receivable</t>
  </si>
  <si>
    <t>Advances other than capital advances:</t>
  </si>
  <si>
    <t>Note. 6</t>
  </si>
  <si>
    <t>Equity Shares</t>
  </si>
  <si>
    <t>Issued and Subscribed:</t>
  </si>
  <si>
    <t>Add: Issued During the year for cash</t>
  </si>
  <si>
    <t>Add:Shares issued  at ESOP trust</t>
  </si>
  <si>
    <t>The company has one class of equity shares having a par value of Rs.10 per share. Each shareholder is eligible for one vote per share held. In the event of liquidation, the equity shareholders are eligible to receive the remaining assets of the company after distribution of all preferential amounts, in proportion to their shareholdings.</t>
  </si>
  <si>
    <t>e.</t>
  </si>
  <si>
    <t>Shares reserved for issue underwriter options</t>
  </si>
  <si>
    <t>f.</t>
  </si>
  <si>
    <t>Detail of Rights Issues</t>
  </si>
  <si>
    <t>g.</t>
  </si>
  <si>
    <t>details of shares held by Holding/Ultimatley Holding Company</t>
  </si>
  <si>
    <t>h.</t>
  </si>
  <si>
    <t>Details of shares issued for consideration other than cash</t>
  </si>
  <si>
    <t>i.</t>
  </si>
  <si>
    <t>Dividend Distribution Tax on fianl Dividend</t>
  </si>
  <si>
    <t>Proposed Dividend on Equity Shares</t>
  </si>
  <si>
    <t>Distribution Tax on Proposed Dividend</t>
  </si>
  <si>
    <t>Dividend Declaration Details</t>
  </si>
  <si>
    <t>Non Cash Items: Nil</t>
  </si>
  <si>
    <t>Add: Addition During the Year</t>
  </si>
  <si>
    <t>Add: Securities Premium on shares issued during the year</t>
  </si>
  <si>
    <t>Securities Premium:</t>
  </si>
  <si>
    <t>Capital Reserve:</t>
  </si>
  <si>
    <t>Balance at the beginning of the year</t>
  </si>
  <si>
    <t>Debentures Redemption Reserves:</t>
  </si>
  <si>
    <t>Balance at the beginng of the year</t>
  </si>
  <si>
    <t>Add: Addition during the Year</t>
  </si>
  <si>
    <t>Total other Equity</t>
  </si>
  <si>
    <t>Capital Redemption Reserves:</t>
  </si>
  <si>
    <t>Investment Fluctuation Reserves:</t>
  </si>
  <si>
    <t>Total Other Reserves</t>
  </si>
  <si>
    <t>Non Current</t>
  </si>
  <si>
    <t>Bonds</t>
  </si>
  <si>
    <t>Debentures(Secured)</t>
  </si>
  <si>
    <t>Unsecured</t>
  </si>
  <si>
    <t>Term loans:</t>
  </si>
  <si>
    <t>Other Loans</t>
  </si>
  <si>
    <t>-Finance lease obligations</t>
  </si>
  <si>
    <t>- Preference shares</t>
  </si>
  <si>
    <t>Interest-free sales Tax deferal loan from state Govt.</t>
  </si>
  <si>
    <t>From Individuals other than banks</t>
  </si>
  <si>
    <t>Total Borrowings</t>
  </si>
  <si>
    <t>1. In the Balance sheet Cash comprises cash and demand deposits. 
2.Cash equivalents are held for the purpose of short term cash commitments rather than for investment or other purpose</t>
  </si>
  <si>
    <t>Note Short Term Borrowing</t>
  </si>
  <si>
    <t>Notes 11.1</t>
  </si>
  <si>
    <t>Note 11.1</t>
  </si>
  <si>
    <t>Terms of Repayment</t>
  </si>
  <si>
    <t>Security</t>
  </si>
  <si>
    <t>Debentures</t>
  </si>
  <si>
    <t>Long Term</t>
  </si>
  <si>
    <t>Short Term</t>
  </si>
  <si>
    <t>Rupee term loans from Banks:</t>
  </si>
  <si>
    <t>Rupee Loan</t>
  </si>
  <si>
    <t>Foreign Currency loan</t>
  </si>
  <si>
    <t>Foreign Currency loan from Bank (Unsecured)</t>
  </si>
  <si>
    <t>Rupee Loan Banks (Unsecured loans)</t>
  </si>
  <si>
    <t>Commercial Papers (Unsecured)</t>
  </si>
  <si>
    <t>Working Capital Borrowings(Secured)</t>
  </si>
  <si>
    <t xml:space="preserve">1. Working capital Loans of _____________ bank  are paid during the financial year 2019-20, </t>
  </si>
  <si>
    <t>Current Maturities of Long Term Borrowings</t>
  </si>
  <si>
    <t>Current Maturities of finance lease obligation</t>
  </si>
  <si>
    <t>Invester enducation protection fund</t>
  </si>
  <si>
    <t>others:</t>
  </si>
  <si>
    <t xml:space="preserve">   Retention money for capital projects</t>
  </si>
  <si>
    <t xml:space="preserve">   Payble  towards capital expenditure</t>
  </si>
  <si>
    <t xml:space="preserve">   Payble  towards Services received</t>
  </si>
  <si>
    <t xml:space="preserve">   Payble  towards other expenses</t>
  </si>
  <si>
    <t xml:space="preserve">   Interest accrued but no due on borrowings</t>
  </si>
  <si>
    <t>Other Financial Liabilities</t>
  </si>
  <si>
    <t>Non Current Liabilities</t>
  </si>
  <si>
    <t>Sub Total</t>
  </si>
  <si>
    <t>Sub total</t>
  </si>
  <si>
    <t>Note  11.1.2</t>
  </si>
  <si>
    <t>Note 11.1.1</t>
  </si>
  <si>
    <t>Note 12</t>
  </si>
  <si>
    <t>Note 13</t>
  </si>
  <si>
    <t>Long term provisions</t>
  </si>
  <si>
    <t>Note: Dues to micro and small enterprises - As per Micro, Small and Medium Enterprises  Development Act, 2006 (‘MSMED’ Act) This information has been determined to the extent such parties have been identified on the basis of information available with the Compan</t>
  </si>
  <si>
    <t xml:space="preserve">            For Provident Fund</t>
  </si>
  <si>
    <t xml:space="preserve">            For gratuity</t>
  </si>
  <si>
    <t xml:space="preserve">            Provision for compensated absences</t>
  </si>
  <si>
    <t>a). Provision for Emplyoee Bebefits</t>
  </si>
  <si>
    <t>b). Others</t>
  </si>
  <si>
    <t xml:space="preserve">            Service Waranties</t>
  </si>
  <si>
    <t xml:space="preserve">            Statutory Dues</t>
  </si>
  <si>
    <t xml:space="preserve">            Legal Calims</t>
  </si>
  <si>
    <t>Other Liabilities</t>
  </si>
  <si>
    <t>a).Revenue Received in Advance</t>
  </si>
  <si>
    <t xml:space="preserve">       Advances From customers</t>
  </si>
  <si>
    <t xml:space="preserve">       Salaries and Wages payable</t>
  </si>
  <si>
    <t>b).Other Payables</t>
  </si>
  <si>
    <t xml:space="preserve">       Marketing Salaries - Field Staff Payable</t>
  </si>
  <si>
    <t xml:space="preserve">       Directors Remuneration Payable</t>
  </si>
  <si>
    <t xml:space="preserve">    Statutory Dues Payable</t>
  </si>
  <si>
    <t xml:space="preserve">     Provident fund payable</t>
  </si>
  <si>
    <t xml:space="preserve">     ESI contribution payable</t>
  </si>
  <si>
    <t xml:space="preserve">     Interest Payable on statutory dues</t>
  </si>
  <si>
    <t xml:space="preserve">     TDS payable</t>
  </si>
  <si>
    <t xml:space="preserve">       Bonus payable</t>
  </si>
  <si>
    <t xml:space="preserve">       Audit fee payable</t>
  </si>
  <si>
    <t xml:space="preserve">       Other Advance  payable</t>
  </si>
  <si>
    <t xml:space="preserve">        Electricity Charges Payable</t>
  </si>
  <si>
    <t xml:space="preserve">        Other Expenses Payable</t>
  </si>
  <si>
    <t xml:space="preserve">        Deposits</t>
  </si>
  <si>
    <t>Note 11.2</t>
  </si>
  <si>
    <t>on Written down value of fixed assets</t>
  </si>
  <si>
    <r>
      <t>Income tax at India’s statutory  income  tax  rate  of   25%  (31 March 2019:25</t>
    </r>
    <r>
      <rPr>
        <u/>
        <sz val="11"/>
        <color theme="1"/>
        <rFont val="Bookman Old Style"/>
        <family val="1"/>
      </rPr>
      <t xml:space="preserve"> </t>
    </r>
    <r>
      <rPr>
        <sz val="11"/>
        <color theme="1"/>
        <rFont val="Bookman Old Style"/>
        <family val="1"/>
      </rPr>
      <t>%)</t>
    </r>
  </si>
  <si>
    <t>Principal amount remaining unpaid to any supplier as at the end of the year.</t>
  </si>
  <si>
    <t>Note 11.2.1</t>
  </si>
  <si>
    <t>Amount of interest due remaining unpaid to any supplier as at the end of the year</t>
  </si>
  <si>
    <t>Amount of interest paid under MSMED Act, 2006 along with the amounts of the payment made to the supplier beyond the appointed day during the year.</t>
  </si>
  <si>
    <t>Amount of interest due and payable for the period of delay in making payment (where the principal has been paid but interest under the MSMED Act, 2006 not paid)</t>
  </si>
  <si>
    <t>Amount of interest accrued and remaining unpaid at the end of year.</t>
  </si>
  <si>
    <t>Amount of further interest remaining due and payable even in the succeeding year</t>
  </si>
  <si>
    <t>Revenue from Sale of Products</t>
  </si>
  <si>
    <t xml:space="preserve">  a). Sale of Manufactured Goods</t>
  </si>
  <si>
    <t>Revenue from Sale Service</t>
  </si>
  <si>
    <t xml:space="preserve">  a). Software servieces</t>
  </si>
  <si>
    <t xml:space="preserve">  b). Other Services</t>
  </si>
  <si>
    <t>Other Operating Revenues</t>
  </si>
  <si>
    <t xml:space="preserve">  a). Export Incentives</t>
  </si>
  <si>
    <t xml:space="preserve">         From others</t>
  </si>
  <si>
    <t>c). Scrap Sale</t>
  </si>
  <si>
    <t>d). Others</t>
  </si>
  <si>
    <t xml:space="preserve">Total Revenue from Operations </t>
  </si>
  <si>
    <t>Net Revenue</t>
  </si>
  <si>
    <t>Revenue from contracts with customers disaggregated based on geography</t>
  </si>
  <si>
    <t>a). Domestic</t>
  </si>
  <si>
    <t>b).Export</t>
  </si>
  <si>
    <t>C)Reconciliation of Gross Revenue from Contracts With Customers</t>
  </si>
  <si>
    <t>Gross Revenue</t>
  </si>
  <si>
    <t>Less: Discount</t>
  </si>
  <si>
    <t>Less: Returns</t>
  </si>
  <si>
    <t>Less: Price Concession</t>
  </si>
  <si>
    <t>Less: Incentives and performance bonus</t>
  </si>
  <si>
    <t>Less: Goods and Service Tax</t>
  </si>
  <si>
    <t>Net Revenue recognised from Contracts with Customers</t>
  </si>
  <si>
    <t>C1 Terms conditions on performance waranty</t>
  </si>
  <si>
    <t>C2 Credit period</t>
  </si>
  <si>
    <t xml:space="preserve">         From subsidiaries and associates</t>
  </si>
  <si>
    <t>Interest income</t>
  </si>
  <si>
    <t>a).Financial assets mandatorily measured at fair value
    through profit or loss</t>
  </si>
  <si>
    <t>b). Interest income on financial assets fair valued through  
    other comprehensive income</t>
  </si>
  <si>
    <t xml:space="preserve">     -Non Convertible debentures</t>
  </si>
  <si>
    <t>c). Financial assets carried at amortised cost</t>
  </si>
  <si>
    <t xml:space="preserve">             Tax free bonds and government bonds</t>
  </si>
  <si>
    <t xml:space="preserve">              Deposits with banks and others</t>
  </si>
  <si>
    <t>Dividend Income</t>
  </si>
  <si>
    <t>b).Equity investment designated at fair value through
    other comprehensive income</t>
  </si>
  <si>
    <t>a).Investments mandatorily measured at fair value through
    profit or loss</t>
  </si>
  <si>
    <t>Sub toal (i)</t>
  </si>
  <si>
    <t>Sub total (ii)</t>
  </si>
  <si>
    <t>Unwinding of discount on security deposits(iii)</t>
  </si>
  <si>
    <t>Government grants (iv)</t>
  </si>
  <si>
    <t>A. Raw Material Consumed</t>
  </si>
  <si>
    <t>Raw materials at the beginning of the year</t>
  </si>
  <si>
    <t xml:space="preserve">Add: Purchases During the year </t>
  </si>
  <si>
    <t>Less: Raw materials at the end of the year</t>
  </si>
  <si>
    <t>Total cost of raw material consumed</t>
  </si>
  <si>
    <t>B). Packing Material</t>
  </si>
  <si>
    <t>Packing materials at the beginning of the year</t>
  </si>
  <si>
    <t>Add : Purchases During the year</t>
  </si>
  <si>
    <t>Less: Packing materials at the end of the year</t>
  </si>
  <si>
    <t>Total cost of packing materials consumed (B)</t>
  </si>
  <si>
    <t>Total cost of  Materials consumed (B)</t>
  </si>
  <si>
    <t>Opening Balnce</t>
  </si>
  <si>
    <t>Work in Progress</t>
  </si>
  <si>
    <t>Stock in Trade (Including Goods in Transit)</t>
  </si>
  <si>
    <t>Total Opening Balnces</t>
  </si>
  <si>
    <t>Total Closing Balance</t>
  </si>
  <si>
    <t>Total Changes in inventories of finished goods, work-inprogress and stock-in-trade</t>
  </si>
  <si>
    <t>Spares and Consumables</t>
  </si>
  <si>
    <t>Employee share based payment expenses</t>
  </si>
  <si>
    <t>Leave compensation</t>
  </si>
  <si>
    <t>Post-employment pension benefits</t>
  </si>
  <si>
    <t>Post-employment medical benefits</t>
  </si>
  <si>
    <t>Staff welfare expenses</t>
  </si>
  <si>
    <t>Total Employee benefits</t>
  </si>
  <si>
    <t>Total Finance Cost</t>
  </si>
  <si>
    <t>Interest and finance charges on financial liabilities carried at amortised cost</t>
  </si>
  <si>
    <t xml:space="preserve">               a). Interest on Bank Borrowings</t>
  </si>
  <si>
    <t xml:space="preserve">               b). Interest on Bill Discounting</t>
  </si>
  <si>
    <t>Less: Amount Capitalised</t>
  </si>
  <si>
    <t>Total Interest on financial liabilities carried at amortised cost</t>
  </si>
  <si>
    <t>Intest on Trade payables (as per MSME Act)</t>
  </si>
  <si>
    <t>Interest on delayed payment of statutory dues</t>
  </si>
  <si>
    <t>Unwinding of discount on provision</t>
  </si>
  <si>
    <t>Exchange difference regarded as adjustment to borrowing
costs</t>
  </si>
  <si>
    <t>Dividend on redeemable preference shares (including
dividend distribution tax)</t>
  </si>
  <si>
    <t>Depreciation on plant, property and equipment</t>
  </si>
  <si>
    <t>Depreciation on Investment properties</t>
  </si>
  <si>
    <t>Amortisation on Intangible assets</t>
  </si>
  <si>
    <t>Total depreciation and Amortisation expenses</t>
  </si>
  <si>
    <t>As An Auditor</t>
  </si>
  <si>
    <t xml:space="preserve">          - Audit Fees</t>
  </si>
  <si>
    <t xml:space="preserve">          - Tax Audit</t>
  </si>
  <si>
    <t xml:space="preserve">          - Limited Review</t>
  </si>
  <si>
    <t>In Other Capacity</t>
  </si>
  <si>
    <t xml:space="preserve">         - Taxation Matters</t>
  </si>
  <si>
    <t xml:space="preserve">         - Company Law matters</t>
  </si>
  <si>
    <t xml:space="preserve">         - Certification matters</t>
  </si>
  <si>
    <t xml:space="preserve">         - Reimbursement of Expenses</t>
  </si>
  <si>
    <t>Total Payment to Auditor</t>
  </si>
  <si>
    <t>Amount required to be spent as per Section 135 of the Companies Act, 2013</t>
  </si>
  <si>
    <t>Amount spent during the year on:</t>
  </si>
  <si>
    <t>Total Gain</t>
  </si>
  <si>
    <t xml:space="preserve">               c). Other Interest Expenses(Bank Charges)</t>
  </si>
  <si>
    <t xml:space="preserve">      (a) Cost of material Consumed</t>
  </si>
  <si>
    <t xml:space="preserve">      (b) Purchase of Stock in Trade</t>
  </si>
  <si>
    <t xml:space="preserve">      (c) Changes in stock of finished goods, work-   
          in progress and stock-in-trade</t>
  </si>
  <si>
    <t xml:space="preserve">      (d) Employee benefits</t>
  </si>
  <si>
    <t xml:space="preserve">      (e) Finance cost</t>
  </si>
  <si>
    <t xml:space="preserve">      (f) Depreciation expense</t>
  </si>
  <si>
    <t xml:space="preserve">      (g) Impairment expenses/losses</t>
  </si>
  <si>
    <t xml:space="preserve">      (h) Net loss on de-recognition of financial  
          assets at amortized cost</t>
  </si>
  <si>
    <t xml:space="preserve">      (i) Net loss on reclassification of financial  
           assets</t>
  </si>
  <si>
    <t>Profit/(loss) before Share of profit/(loss) of
associates / joint ventures, exceptional items and tax (V - VI)</t>
  </si>
  <si>
    <t>Continuing Operations</t>
  </si>
  <si>
    <t>II</t>
  </si>
  <si>
    <t>III</t>
  </si>
  <si>
    <t>IV</t>
  </si>
  <si>
    <t xml:space="preserve"> Net gain on reclassification of financial assets</t>
  </si>
  <si>
    <t>Net gain on de-recognition of financial assets at amortised cost</t>
  </si>
  <si>
    <t>Other income</t>
  </si>
  <si>
    <t>Revenue from operations</t>
  </si>
  <si>
    <t>V</t>
  </si>
  <si>
    <t>VI</t>
  </si>
  <si>
    <t xml:space="preserve">      Total expenses (VI)</t>
  </si>
  <si>
    <t>VII</t>
  </si>
  <si>
    <t>VIII</t>
  </si>
  <si>
    <t>Share of profit/(loss) of associates</t>
  </si>
  <si>
    <t>IX</t>
  </si>
  <si>
    <t>Share of profit/(loss) of joint ventures</t>
  </si>
  <si>
    <t>Profit/(Loss) before exceptional items and tax</t>
  </si>
  <si>
    <t>X</t>
  </si>
  <si>
    <t>Exceptional itmes</t>
  </si>
  <si>
    <t>XI</t>
  </si>
  <si>
    <t>Profit before Tax</t>
  </si>
  <si>
    <t>XII</t>
  </si>
  <si>
    <t>XIII</t>
  </si>
  <si>
    <t>Profit/(loss) for the year from continuing operations (XI-XII)</t>
  </si>
  <si>
    <t>Discontinued Operations</t>
  </si>
  <si>
    <t>XIV</t>
  </si>
  <si>
    <t>Profit/(loss) from discontinued operations</t>
  </si>
  <si>
    <t>Tax Expense of discontinued operations</t>
  </si>
  <si>
    <t>XV</t>
  </si>
  <si>
    <t>Profit/(loss) from discontinued operations (XIV +XV)</t>
  </si>
  <si>
    <t>XVI</t>
  </si>
  <si>
    <t>XVII Profit/(loss) for the year (XIII+XVI)</t>
  </si>
  <si>
    <t>XVII</t>
  </si>
  <si>
    <t>XIX</t>
  </si>
  <si>
    <t xml:space="preserve">Earnings Per Share (in Rs.) – Basic </t>
  </si>
  <si>
    <t xml:space="preserve">Earnings Per Share (in Rs.) –  Diluted </t>
  </si>
  <si>
    <t>iv) Guarantees excluding financial
guarantees</t>
  </si>
  <si>
    <t>S.No</t>
  </si>
  <si>
    <t>A</t>
  </si>
  <si>
    <t>B</t>
  </si>
  <si>
    <t>C</t>
  </si>
  <si>
    <t>a</t>
  </si>
  <si>
    <t>b</t>
  </si>
  <si>
    <t>c</t>
  </si>
  <si>
    <t>Total derivative instruments at fair value through profit or loss</t>
  </si>
  <si>
    <t>Other Non-Current Assets</t>
  </si>
  <si>
    <t>Bank Balances  other than  Cash and Cash  Cash Equivalents</t>
  </si>
  <si>
    <t xml:space="preserve">1. In the Balance sheet Cash comprises cash and demand deposits. </t>
  </si>
  <si>
    <t>2.Cash equivalents are held for the purpose of short term cash commitments rather than for investment or other purpose</t>
  </si>
  <si>
    <t>Other Current Assets</t>
  </si>
  <si>
    <t xml:space="preserve">   Advances to Plant and Machinery</t>
  </si>
  <si>
    <t>i</t>
  </si>
  <si>
    <t>ii</t>
  </si>
  <si>
    <t>iii</t>
  </si>
  <si>
    <t>iv</t>
  </si>
  <si>
    <t>v</t>
  </si>
  <si>
    <t>vi</t>
  </si>
  <si>
    <t>vii</t>
  </si>
  <si>
    <t>viii</t>
  </si>
  <si>
    <t>ix</t>
  </si>
  <si>
    <t>Loans fom Individuals other than
 Banks</t>
  </si>
  <si>
    <t xml:space="preserve">Term Loans </t>
  </si>
  <si>
    <t>From Banks</t>
  </si>
  <si>
    <t>Unsecured loans from individulas other than Banks</t>
  </si>
  <si>
    <t>Others:</t>
  </si>
  <si>
    <t xml:space="preserve">            Provision for compensated  
            absences</t>
  </si>
  <si>
    <t xml:space="preserve">     Other Expenses Payable</t>
  </si>
  <si>
    <t xml:space="preserve">     Audit fee payable</t>
  </si>
  <si>
    <t>Impairment</t>
  </si>
  <si>
    <t>Current:</t>
  </si>
  <si>
    <t>Non Current:</t>
  </si>
  <si>
    <t xml:space="preserve">Total </t>
  </si>
  <si>
    <t>Insurance claims recievable</t>
  </si>
  <si>
    <t>Advances toiwards equity/preference share capital</t>
  </si>
  <si>
    <t>Dreivative instruments at fair value</t>
  </si>
  <si>
    <t>Derivative instrucments:</t>
  </si>
  <si>
    <t>Total Derivative Instruments at fair value through OCI</t>
  </si>
  <si>
    <t>Derivatives not designated as hedges</t>
  </si>
  <si>
    <t>Total Financial Assets</t>
  </si>
  <si>
    <t>Derivative instruments at fair value through profit or loss through OCI:</t>
  </si>
  <si>
    <t>Other comprehensive income(OCI)</t>
  </si>
  <si>
    <t xml:space="preserve">Note 1:  Property, Plant Equipment </t>
  </si>
  <si>
    <t>Note 1(a): Other Intangible Assets</t>
  </si>
  <si>
    <t>Imapaitmenty</t>
  </si>
  <si>
    <t>Note 5: Other Financial Assets</t>
  </si>
  <si>
    <t>Non-Current:</t>
  </si>
  <si>
    <t>Disclores regarding Borrowings</t>
  </si>
  <si>
    <t>CASH FROM OPERATING ACTIVITIES</t>
  </si>
  <si>
    <t>CASH FLOW FROM INVESTING ACTIVITIES:</t>
  </si>
  <si>
    <t>(a) Property, plant and equipment</t>
  </si>
  <si>
    <t>(b) Right to use assets</t>
  </si>
  <si>
    <t>(c) Capital work in progress</t>
  </si>
  <si>
    <t>(d) Investment properties</t>
  </si>
  <si>
    <t>(e) Good will</t>
  </si>
  <si>
    <t>(f) Other intangible Assets</t>
  </si>
  <si>
    <t>(g) Intangible Assets under Development</t>
  </si>
  <si>
    <t>(h) Biological Assets other than Bearer Plants</t>
  </si>
  <si>
    <t>(d) Financial assets</t>
  </si>
  <si>
    <t>(i) Investments</t>
  </si>
  <si>
    <t>(ii) Trade receivables</t>
  </si>
  <si>
    <t>(iii) Loans</t>
  </si>
  <si>
    <t>(e) Deferred Tax Asset (Net)</t>
  </si>
  <si>
    <t>(f)  Other non-current asset</t>
  </si>
  <si>
    <t>(a) Inventories</t>
  </si>
  <si>
    <t>(a) Financial assets</t>
  </si>
  <si>
    <t>(iii) Cash and cash equivalents</t>
  </si>
  <si>
    <t>(iv) Bank Balances other than (iii) above</t>
  </si>
  <si>
    <t>(b) Current Tax Asset (Net)</t>
  </si>
  <si>
    <t>(c) Other current assets</t>
  </si>
  <si>
    <t>Total assets (A+B+C)</t>
  </si>
  <si>
    <t>Non Current Assets Clasiffied as Held for Sale (C)</t>
  </si>
  <si>
    <t>(a) Equity share capital</t>
  </si>
  <si>
    <t>(b) Other equity</t>
  </si>
  <si>
    <t>(a) Financial Liabilities</t>
  </si>
  <si>
    <t>(i) Borrowings</t>
  </si>
  <si>
    <t>(ii) Trade Payables</t>
  </si>
  <si>
    <t>(iii) Other Financial Liabilties</t>
  </si>
  <si>
    <t>(b) Long term provisions</t>
  </si>
  <si>
    <t>(c) Deferred tax Liabilities(Net)</t>
  </si>
  <si>
    <t>(d) Other non Current Liabilities</t>
  </si>
  <si>
    <t>Current liabilities</t>
  </si>
  <si>
    <t>(a) Financial liabilities</t>
  </si>
  <si>
    <t>(ii) Trade payables</t>
  </si>
  <si>
    <t>(iii) Other financial liabilities</t>
  </si>
  <si>
    <t>(b) Short term provisions</t>
  </si>
  <si>
    <t>(c) Other current liabilities</t>
  </si>
  <si>
    <t>(d) Current Tax Laibilities (net)</t>
  </si>
  <si>
    <t xml:space="preserve">    Total liabilities (D=B+C)</t>
  </si>
  <si>
    <t>- Income taxes paid</t>
  </si>
  <si>
    <t>- Extraordinary &amp; Prior period items</t>
  </si>
  <si>
    <t>Disaggregated revenue information</t>
  </si>
  <si>
    <t>Revenue from contracts with customers disaggregated based on nature of product or services</t>
  </si>
  <si>
    <t xml:space="preserve">  b). Stock in Trade</t>
  </si>
  <si>
    <t xml:space="preserve">  b). Royalty Received</t>
  </si>
  <si>
    <t>C3 The Company does not have any remaining performance obligation as contracts entered for sale of goods are for a shorter duration. There are no contracts for sale of services wherein, performance obligation is unsatisfied to which transaction price has been allocated.</t>
  </si>
  <si>
    <r>
      <rPr>
        <b/>
        <sz val="11"/>
        <rFont val="Bookman Old Style"/>
        <family val="1"/>
      </rPr>
      <t>Note:</t>
    </r>
    <r>
      <rPr>
        <sz val="11"/>
        <rFont val="Bookman Old Style"/>
        <family val="1"/>
      </rPr>
      <t xml:space="preserve"> Dues to micro and small enterprises - As per Micro, Small and Medium Enterprises  Development Act, 2006 (‘MSMED’ Act) This information has been determined to the extent such parties have been identified on the basis of information available with the Compan</t>
    </r>
  </si>
  <si>
    <t>Amount Rs.</t>
  </si>
  <si>
    <t>STATUS:</t>
  </si>
  <si>
    <t>DOI:</t>
  </si>
  <si>
    <t>Name:</t>
  </si>
  <si>
    <t>Address:</t>
  </si>
  <si>
    <t>PAN:</t>
  </si>
  <si>
    <t>Amount Rs</t>
  </si>
  <si>
    <t>Managerial Remuneration</t>
  </si>
  <si>
    <t>Repairs &amp; Maintenance</t>
  </si>
  <si>
    <t>Advertisement &amp; Business Promotion Expenses</t>
  </si>
  <si>
    <t>ROC Charges</t>
  </si>
  <si>
    <t>Rent</t>
  </si>
  <si>
    <t>Stock Exchange Listing Charges</t>
  </si>
  <si>
    <t>SBI</t>
  </si>
  <si>
    <t>Advances to Employees</t>
  </si>
  <si>
    <t>Loans from Related Companies</t>
  </si>
  <si>
    <t>Cash Credit</t>
  </si>
  <si>
    <t>Lakshmi Vilas Bank-2881</t>
  </si>
  <si>
    <t xml:space="preserve">     Provision for Employee Benefit Expenses</t>
  </si>
  <si>
    <t>Note 11.2 Other Reserves</t>
  </si>
  <si>
    <t>Note 27: Related party disclosures</t>
  </si>
  <si>
    <t xml:space="preserve">Note 28.1: Basic Earnings Per Share (there are no discontinued operation) </t>
  </si>
  <si>
    <t xml:space="preserve">Note 28.2: Diluted Earnings Per Share (there are no discontinued operation) </t>
  </si>
  <si>
    <t>Proceeds from borrowings</t>
  </si>
  <si>
    <t>Bank overdraft</t>
  </si>
  <si>
    <t>From Bank</t>
  </si>
  <si>
    <t>Others - unsecured</t>
  </si>
  <si>
    <t>(Write down value of inventories Rs.0 and written down value of material due to obsolesence Rs.0 these amount included in the cost material consumed)</t>
  </si>
  <si>
    <t>L72200AP1997PLC027073</t>
  </si>
  <si>
    <t>Statement of Changes in Equity</t>
  </si>
  <si>
    <t>Equity share capital</t>
  </si>
  <si>
    <t>(Amount in Rs.)</t>
  </si>
  <si>
    <t>Changes in equity share capital during 2018-19</t>
  </si>
  <si>
    <t>Balance as at the 31 March 2019</t>
  </si>
  <si>
    <t>Changes in equity share capital during 2019-20</t>
  </si>
  <si>
    <t>Other equity</t>
  </si>
  <si>
    <t>Reserves and surplus</t>
  </si>
  <si>
    <t>Items of Other comprehensive income (OCI)</t>
  </si>
  <si>
    <t>Capital Reserve</t>
  </si>
  <si>
    <t>Total comprehensive income for the 
year ended 31 March 2019</t>
  </si>
  <si>
    <t>Profit or loss</t>
  </si>
  <si>
    <t>Other comprehensive income(net of tax)</t>
  </si>
  <si>
    <t>Total comprehensive income</t>
  </si>
  <si>
    <t>Transactions with owners in their capacity as owners
directly in equity</t>
  </si>
  <si>
    <t>Balance at 31 March 2019</t>
  </si>
  <si>
    <t>Total comprehensive income for the 
year ended 31 March 2020</t>
  </si>
  <si>
    <t>Transactions with owners in their capacity as owners</t>
  </si>
  <si>
    <t>As per our report of even date                                                                           for and on behalf of the Board</t>
  </si>
  <si>
    <t>For and on behalf of the Board of Directors of</t>
  </si>
  <si>
    <t>ED &amp; TECH INTERNATIONAL LTD</t>
  </si>
  <si>
    <t>For the year ended 31 March 2019</t>
  </si>
  <si>
    <t>Balance as at the 1 April 2017</t>
  </si>
  <si>
    <t>Changes in equity share capital during 2017-18</t>
  </si>
  <si>
    <t>Balance as at the 31 March 2018</t>
  </si>
  <si>
    <t>Balance at 1 April 2017</t>
  </si>
  <si>
    <t>Total comprehensive income for the 
year ended 31 March 2018</t>
  </si>
  <si>
    <t>Balance at 31 March 2018</t>
  </si>
  <si>
    <t xml:space="preserve">Place: Hyderabad                                                                                      </t>
  </si>
  <si>
    <t>For the year ended 31 March 2018</t>
  </si>
  <si>
    <t>Balance as at the 1 April 2016</t>
  </si>
  <si>
    <t>Changes in equity share capital during 2016-17</t>
  </si>
  <si>
    <t>Balance as at the 31 March 2017</t>
  </si>
  <si>
    <t>Balance at 1 April 2016</t>
  </si>
  <si>
    <t>Total comprehensive income for the 
year ended 31 March 2017</t>
  </si>
  <si>
    <t>Balance at 31 March 2017</t>
  </si>
  <si>
    <t>Securities Premium</t>
  </si>
  <si>
    <t xml:space="preserve">     TDS Payable</t>
  </si>
  <si>
    <t xml:space="preserve">     Income Tax Payable</t>
  </si>
  <si>
    <t xml:space="preserve">     Service Tax Payable</t>
  </si>
  <si>
    <t xml:space="preserve">     Listing fee, Custody Fee, Issuer Fee</t>
  </si>
  <si>
    <t>Loans from Related parties</t>
  </si>
  <si>
    <t>(The Company defaulted in payment of loan interest and the CC account became NPA)</t>
  </si>
  <si>
    <t>Arunjyoti Bio Ventures Limited</t>
  </si>
  <si>
    <t>CIN NO: L01400TG1986PLC062463</t>
  </si>
  <si>
    <t>Pabbathi Praveen Kumar</t>
  </si>
  <si>
    <t>DIN:02009879</t>
  </si>
  <si>
    <t>Babulal Raja Kumar</t>
  </si>
  <si>
    <t>DIN:07529064</t>
  </si>
  <si>
    <t>Wholetime Director</t>
  </si>
  <si>
    <t>*2070900 shares of Rs. 10 each allotted as fully paid up pursant to contract without payment being received in cash.</t>
  </si>
  <si>
    <t>P SRINIVASA RAO</t>
  </si>
  <si>
    <t>P LEELA MADHURI DEVI</t>
  </si>
  <si>
    <t>RAGHU RAM RENDUCHINTALA</t>
  </si>
  <si>
    <t>PRAVEEN KUMAR PABBATHI</t>
  </si>
  <si>
    <t>Commmission/Brokerage charges</t>
  </si>
  <si>
    <t>Electricity Charges</t>
  </si>
  <si>
    <t>Office Maintenance</t>
  </si>
  <si>
    <t>Professional and Consultancy</t>
  </si>
  <si>
    <t>Turnover Discount</t>
  </si>
  <si>
    <t>Interest on TDS</t>
  </si>
  <si>
    <t>Rates &amp; Taxes</t>
  </si>
  <si>
    <t>Discount Received(vi)</t>
  </si>
  <si>
    <t>Total(i+ii+iii+iv+v+vi)</t>
  </si>
  <si>
    <t>Changes in non current assets and liabilities</t>
  </si>
  <si>
    <t>Decrease/(Increase) in loans &amp; advances</t>
  </si>
  <si>
    <t>Decrease/(Increase) in Long Term Provisions</t>
  </si>
  <si>
    <t>Decrease/(Increase) in Other non Current Assets</t>
  </si>
  <si>
    <t>Debtors Turnover</t>
  </si>
  <si>
    <t>Inventory Turnover</t>
  </si>
  <si>
    <t>Interest Coverage Ratio</t>
  </si>
  <si>
    <t>Current ratio</t>
  </si>
  <si>
    <t>Debt Equity ratio</t>
  </si>
  <si>
    <t>Operating Profit</t>
  </si>
  <si>
    <t>Net Profit Margin</t>
  </si>
  <si>
    <t>Sales</t>
  </si>
  <si>
    <t>Inventory</t>
  </si>
  <si>
    <t>EBITDA</t>
  </si>
  <si>
    <t>Interest Expenses</t>
  </si>
  <si>
    <t>-</t>
  </si>
  <si>
    <t>Current Assets</t>
  </si>
  <si>
    <t>Current Liabailties</t>
  </si>
  <si>
    <t>Total Debt</t>
  </si>
  <si>
    <t>Net Profit</t>
  </si>
  <si>
    <t>Firm Reg No:006492S</t>
  </si>
  <si>
    <t>Ramesh Kumar D</t>
  </si>
  <si>
    <t>Membership No: 217139</t>
  </si>
  <si>
    <t xml:space="preserve">UDIN: </t>
  </si>
  <si>
    <t>For V Ravi &amp; Co.,</t>
  </si>
  <si>
    <t>Grand Total</t>
  </si>
  <si>
    <t>Profit &amp; Loss A/c</t>
  </si>
  <si>
    <t>Rounding Off</t>
  </si>
  <si>
    <t>Rates and Taxes</t>
  </si>
  <si>
    <t>Frieght Charges</t>
  </si>
  <si>
    <t>Telephone Expenses</t>
  </si>
  <si>
    <t>Shareholder's Service, Maint. Charges &amp; Others</t>
  </si>
  <si>
    <t>Salaries</t>
  </si>
  <si>
    <t>Remuneration</t>
  </si>
  <si>
    <t>Legal &amp; Professional Charges</t>
  </si>
  <si>
    <t>Interest on Income Tax</t>
  </si>
  <si>
    <t>Insurance Charges</t>
  </si>
  <si>
    <t>IMPORT EXP</t>
  </si>
  <si>
    <t>Frieght Charges - IMPORTS</t>
  </si>
  <si>
    <t>Consultant Charges - GST</t>
  </si>
  <si>
    <t>Annual Listing Fee</t>
  </si>
  <si>
    <t>Financial Charges</t>
  </si>
  <si>
    <t>Indirect Expenses</t>
  </si>
  <si>
    <t>Discount Received</t>
  </si>
  <si>
    <t>Indirect Incomes</t>
  </si>
  <si>
    <t>Custom Duty</t>
  </si>
  <si>
    <t>Direct Expenses</t>
  </si>
  <si>
    <t>GST Purchases</t>
  </si>
  <si>
    <t>Purchase Accounts</t>
  </si>
  <si>
    <t>GST Sales</t>
  </si>
  <si>
    <t>Sales Accounts</t>
  </si>
  <si>
    <t>Arunjyoti Bio Ventures Limited - VJA</t>
  </si>
  <si>
    <t>Arunjyoti Bio Ventures Limited - Hyd</t>
  </si>
  <si>
    <t>Branch / Divisions</t>
  </si>
  <si>
    <t>VAT - Appeal Fee</t>
  </si>
  <si>
    <t>Bank Accounts</t>
  </si>
  <si>
    <t>Cash-in-hand</t>
  </si>
  <si>
    <t>Sundry Debtors</t>
  </si>
  <si>
    <t>Deposits (Asset)</t>
  </si>
  <si>
    <t>Opening Stock</t>
  </si>
  <si>
    <t>Other Current Liabilities</t>
  </si>
  <si>
    <t>Sundry Creditors</t>
  </si>
  <si>
    <t>Provisions</t>
  </si>
  <si>
    <t>Duties &amp; Taxes</t>
  </si>
  <si>
    <t>Current Liabilities</t>
  </si>
  <si>
    <t>Equity Share Capital</t>
  </si>
  <si>
    <t>Reserves &amp; Surplus</t>
  </si>
  <si>
    <t>Capital Account</t>
  </si>
  <si>
    <t>Balance</t>
  </si>
  <si>
    <t>Credit</t>
  </si>
  <si>
    <t>Debit</t>
  </si>
  <si>
    <t/>
  </si>
  <si>
    <t>Closing</t>
  </si>
  <si>
    <t>Transactions</t>
  </si>
  <si>
    <t>Opening</t>
  </si>
  <si>
    <t>Arunjyoti Bio Ventures Ltd - Group Company</t>
  </si>
  <si>
    <t>Trial Balance</t>
  </si>
  <si>
    <t>Interest on TDS &amp; Income Tax</t>
  </si>
  <si>
    <t>Share Holders Service &amp; Maintenance Charges</t>
  </si>
  <si>
    <t>1-Apr-2020 to 31-Mar-2021</t>
  </si>
  <si>
    <t>Balance as at the 1 April 2019</t>
  </si>
  <si>
    <t>Changes in equity share capital during 2020-21</t>
  </si>
  <si>
    <t>Balance as at the 31 March 2021</t>
  </si>
  <si>
    <t>at 1st April 2019</t>
  </si>
  <si>
    <t xml:space="preserve">Date : </t>
  </si>
  <si>
    <t>Annexure A</t>
  </si>
  <si>
    <t>STATEMENT OF TOTAL INCOME</t>
  </si>
  <si>
    <t>Arunjyoti Bio Ventures Ltd</t>
  </si>
  <si>
    <t>Plot No. 45, P &amp; T Colony, Karkhana Secunderabad Hyderabad TG 500009 IN</t>
  </si>
  <si>
    <t>PAN No.</t>
  </si>
  <si>
    <t>27.02.1986</t>
  </si>
  <si>
    <t>Ward / Circle</t>
  </si>
  <si>
    <t>Previous Year ending</t>
  </si>
  <si>
    <t>Rs.</t>
  </si>
  <si>
    <t>Book profit as per Profit &amp; Loss A/c</t>
  </si>
  <si>
    <t>Add: Depriciation as per Companies Act, 1956</t>
  </si>
  <si>
    <t>Add: Inadmissible Expenses</t>
  </si>
  <si>
    <t>Less: Depriciation as per Income Tax Act, 1961.</t>
  </si>
  <si>
    <t>Less Carry Forward Losses</t>
  </si>
  <si>
    <t>Total Income</t>
  </si>
  <si>
    <t>Taxable Income</t>
  </si>
  <si>
    <t xml:space="preserve">Tax there on </t>
  </si>
  <si>
    <t>Add: surcharge @ 10%</t>
  </si>
  <si>
    <t>Add: Education cess, Sec.And High.Edu Cess@4%</t>
  </si>
  <si>
    <t>Book profit as per sec 115JB</t>
  </si>
  <si>
    <r>
      <rPr>
        <b/>
        <sz val="10.5"/>
        <rFont val="Century Schoolbook"/>
        <family val="1"/>
      </rPr>
      <t>Less:</t>
    </r>
    <r>
      <rPr>
        <sz val="10.5"/>
        <rFont val="Century Schoolbook"/>
        <family val="1"/>
      </rPr>
      <t xml:space="preserve"> Loss or Unobserved Depreciation Whichevr is Lower or Both if applicable</t>
    </r>
  </si>
  <si>
    <t>Net Book Profit</t>
  </si>
  <si>
    <t>Tax Payable A or B Whichever is Higher</t>
  </si>
  <si>
    <t>Less: Advance tax paid</t>
  </si>
  <si>
    <t>Less: Tax Deducted at source</t>
  </si>
  <si>
    <t>Tax payable</t>
  </si>
  <si>
    <t xml:space="preserve">Mat Credit </t>
  </si>
  <si>
    <t>Add:Interest U/s 234A</t>
  </si>
  <si>
    <t>Add: Interest U/s 234B</t>
  </si>
  <si>
    <t>Add: Interest U/s 234C</t>
  </si>
  <si>
    <t>Net Tax Payable</t>
  </si>
  <si>
    <t>Less: Self assessment tax paid</t>
  </si>
  <si>
    <t>Balance Tax payable/(Refundable)</t>
  </si>
  <si>
    <t>31.03.2021</t>
  </si>
  <si>
    <t>2021-22</t>
  </si>
  <si>
    <t xml:space="preserve">Plot No. 45, P &amp; T Colony, Karkhana </t>
  </si>
  <si>
    <t>Secunderabad Hyderabad TG 500009 IN</t>
  </si>
  <si>
    <t>Minimum Alternative Tax @15% on Adjusted Book Profit</t>
  </si>
  <si>
    <t>Balance at 31 March 2021</t>
  </si>
  <si>
    <t>Advertisement Expenses - Gst</t>
  </si>
  <si>
    <t>TA &amp; DA Expenses</t>
  </si>
  <si>
    <t>Foreign Exchange Loss/Gain (v)</t>
  </si>
  <si>
    <t>Import Expenses</t>
  </si>
  <si>
    <t xml:space="preserve">      (d) Direct Expenses</t>
  </si>
  <si>
    <t>Arunjyothi Bio Ventures Limited</t>
  </si>
  <si>
    <t>Less: Transfers</t>
  </si>
  <si>
    <t>Transfers from Profit &amp; Loss</t>
  </si>
  <si>
    <t>L01400TG1986PLC062463</t>
  </si>
  <si>
    <t>Note. 4: Invesments</t>
  </si>
  <si>
    <t>Note 5:Trade Receivables</t>
  </si>
  <si>
    <t>Note 6: Loans</t>
  </si>
  <si>
    <t>Note 7: Income Taxes</t>
  </si>
  <si>
    <t>Note 8: Other Non Current Assets</t>
  </si>
  <si>
    <t>Note 9: Inventories</t>
  </si>
  <si>
    <t>Notes 9.1:  Disclosure of Inventories pledged as security for  liabilties as follows</t>
  </si>
  <si>
    <t xml:space="preserve">Note 10: Cash and Cash Equivalents </t>
  </si>
  <si>
    <t>Cash and Cash Equivalents (Note 10.1)</t>
  </si>
  <si>
    <t xml:space="preserve">Note 10.1: Cash and Cash Equivalents </t>
  </si>
  <si>
    <t>Note 11: Other Current Assets</t>
  </si>
  <si>
    <t>Note 11.1: Non Current Assets Clasiffied as Held for Sale</t>
  </si>
  <si>
    <t>Note 12: Equity share capital</t>
  </si>
  <si>
    <t>Note 12.1 Other equity</t>
  </si>
  <si>
    <t>Note 13: Borrowings</t>
  </si>
  <si>
    <t>Note 14: Trade Payables</t>
  </si>
  <si>
    <t>Note 15:Other Financial Liabilities</t>
  </si>
  <si>
    <t>Note 16: Provisions</t>
  </si>
  <si>
    <t>Note 17: Other current Liabilities</t>
  </si>
  <si>
    <t>Note 18: Revenue from operations</t>
  </si>
  <si>
    <t>Note 19: Other Income</t>
  </si>
  <si>
    <t>Note 20: Net gain/(Loss) on de-recognition of financial assets at amortised cost</t>
  </si>
  <si>
    <t>Note 21: Net gain/(Loss) on reclassification of financial assets</t>
  </si>
  <si>
    <t>Note 22: Cost of Material Consumed</t>
  </si>
  <si>
    <t>Note 23: Changes in inventories of finished goods, work-in-progress and stock-in-trade</t>
  </si>
  <si>
    <t>Note 24: Direct Expenses</t>
  </si>
  <si>
    <t>Note 25 Emplyoee Benefits</t>
  </si>
  <si>
    <t>Note 26: Finance Cost</t>
  </si>
  <si>
    <t>Note 27 Depreciation and Amortisation Expenses</t>
  </si>
  <si>
    <t>Note 28: Other expenses</t>
  </si>
  <si>
    <t>28.1 Payment to Auditors</t>
  </si>
  <si>
    <t xml:space="preserve">28.2  Corporate Social Responsibility( CSR) Not Applicable to this period </t>
  </si>
  <si>
    <t>Cash and cash equivalents (Note-10.1)</t>
  </si>
  <si>
    <t>Ratios</t>
  </si>
  <si>
    <t>Formula</t>
  </si>
  <si>
    <t>20-21</t>
  </si>
  <si>
    <t>Operating profit margin ratio</t>
  </si>
  <si>
    <t>EBIT/Sales*100</t>
  </si>
  <si>
    <t>PBT</t>
  </si>
  <si>
    <t>ADD: interest</t>
  </si>
  <si>
    <t>SUB: other Income</t>
  </si>
  <si>
    <t>EBIT</t>
  </si>
  <si>
    <t>Ratio</t>
  </si>
  <si>
    <t>Net profit margin</t>
  </si>
  <si>
    <t>PAT/Sales</t>
  </si>
  <si>
    <t>PAT</t>
  </si>
  <si>
    <t>Return on equity</t>
  </si>
  <si>
    <t>networth</t>
  </si>
  <si>
    <t>current Ratio</t>
  </si>
  <si>
    <t>current assests/current Liabilities</t>
  </si>
  <si>
    <t>Current assests</t>
  </si>
  <si>
    <t>current Liabilites</t>
  </si>
  <si>
    <t>Interest Coverage ratio</t>
  </si>
  <si>
    <t>EBIT/Interest</t>
  </si>
  <si>
    <t>Interest</t>
  </si>
  <si>
    <t>Debtor Turnover Ratio</t>
  </si>
  <si>
    <t>Sales/Average Debtors</t>
  </si>
  <si>
    <t>Opening Debtors</t>
  </si>
  <si>
    <t>Closing debtors</t>
  </si>
  <si>
    <t>Average debtors</t>
  </si>
  <si>
    <t>Stock Turnover Ratio</t>
  </si>
  <si>
    <t>Closing Stock</t>
  </si>
  <si>
    <t>Average Stock</t>
  </si>
  <si>
    <t>PAT/Networth</t>
  </si>
  <si>
    <t>Sal/Average Stock</t>
  </si>
  <si>
    <t>COGS</t>
  </si>
  <si>
    <t>Debt Equity Ratio</t>
  </si>
  <si>
    <t>Total Liabilities/Shareholders funds</t>
  </si>
  <si>
    <t>Non current Liabilities</t>
  </si>
  <si>
    <t>Shareholders ratio</t>
  </si>
  <si>
    <t>As at Mar 31, 2022</t>
  </si>
  <si>
    <t>For the year ended March 31, 2022</t>
  </si>
  <si>
    <t>For the year ended 31 March 2022</t>
  </si>
  <si>
    <t>Changes in equity share capital during 2021-22</t>
  </si>
  <si>
    <t>Balance as at the 31 March 2022</t>
  </si>
  <si>
    <t>Total comprehensive income for the 
year ended 31 March 2021</t>
  </si>
  <si>
    <t>Balance at 31 March 2022</t>
  </si>
  <si>
    <t>Balance at 1 April 2020</t>
  </si>
  <si>
    <t>As at March 2022</t>
  </si>
  <si>
    <t>GST Sale Returns</t>
  </si>
  <si>
    <t>CST</t>
  </si>
  <si>
    <t>Evoting Charges</t>
  </si>
  <si>
    <t>General Expenses</t>
  </si>
  <si>
    <t>VAT Paid</t>
  </si>
  <si>
    <t>Balance as at the 1 April 2020</t>
  </si>
  <si>
    <t>Creditor for Services / Goods</t>
  </si>
  <si>
    <t>TDS Payables</t>
  </si>
  <si>
    <t>Audit Fee Payable</t>
  </si>
  <si>
    <t>RCM Payable</t>
  </si>
  <si>
    <t>Salary and Remuneration Payable</t>
  </si>
  <si>
    <t>TA &amp; DA Payables</t>
  </si>
  <si>
    <t>CST &amp; VAT Paid</t>
  </si>
  <si>
    <t>Group Summary</t>
  </si>
  <si>
    <t>BALAJI MSRM LAAMINATES PVT LTD</t>
  </si>
  <si>
    <t>Dwarakamai Bio Tech</t>
  </si>
  <si>
    <t>First Care India Private Limited - Trading</t>
  </si>
  <si>
    <t>G K Seeds</t>
  </si>
  <si>
    <t>GUANGDONG FOREIGN TRADE IMPORT</t>
  </si>
  <si>
    <t>GWBITSOL Private Limited</t>
  </si>
  <si>
    <t>IDEAL HOUSEWARE CO., LTD</t>
  </si>
  <si>
    <t>Pasura</t>
  </si>
  <si>
    <t>Pasura Healthcare Pvt Ltd</t>
  </si>
  <si>
    <t>Rama Mohan</t>
  </si>
  <si>
    <t>Ramesh Enterprises</t>
  </si>
  <si>
    <t>Saradhi Packaging</t>
  </si>
  <si>
    <t>SDA Chemicals</t>
  </si>
  <si>
    <t>Sree Kanaka Durga Enterprises</t>
  </si>
  <si>
    <t>Sri Sai International Travel</t>
  </si>
  <si>
    <t>Sundry Creditors - Bio Products</t>
  </si>
  <si>
    <t>Considered good</t>
  </si>
  <si>
    <t>748 ded due to opening bal difference</t>
  </si>
  <si>
    <t>1-Apr-21 to 31-Mar-22</t>
  </si>
  <si>
    <t>Axis Bank Limited</t>
  </si>
  <si>
    <t>ICICI Bank Limited</t>
  </si>
  <si>
    <t>MAT Credit</t>
  </si>
  <si>
    <t>Other Current Asset</t>
  </si>
  <si>
    <t>Rent Advance - M Shivanandam</t>
  </si>
  <si>
    <t>Last year tax provision is adjuested to TDS</t>
  </si>
  <si>
    <t>22217139AJWDHY8894</t>
  </si>
  <si>
    <t>UDIN: 22217139AJWDHY8894</t>
  </si>
  <si>
    <t>21-22</t>
  </si>
  <si>
    <t>at 1st April 2021</t>
  </si>
  <si>
    <t>As at March 2023</t>
  </si>
  <si>
    <t>2022-23</t>
  </si>
  <si>
    <t>Financial Position as at March 31, 2023</t>
  </si>
  <si>
    <t>As at Mar 31, 2023</t>
  </si>
  <si>
    <t>Statement of Profit and Loss and Other Comprehensive Income  for the Year ended Mar 31, 2023</t>
  </si>
  <si>
    <t>Cash and cash equivalents at the beginning of the year 
1.04.2022</t>
  </si>
  <si>
    <t>Cash and cash equivalents at the end of the year as on 31.03.2023</t>
  </si>
  <si>
    <t>Pabbathi Badari Narayana Murthy</t>
  </si>
  <si>
    <t>Vishal Nadimpally</t>
  </si>
  <si>
    <t>Wholetime Director Cum CFO</t>
  </si>
  <si>
    <t>Date : 29-05-2023</t>
  </si>
  <si>
    <t>For the year ended March 31, 2023</t>
  </si>
  <si>
    <t>CASH FLOW STATEMENT FOR THE YEAR ENDED 31.03.2023</t>
  </si>
  <si>
    <t>Interim Dividend for the year ended on 31March 2023</t>
  </si>
  <si>
    <t>Cash Dividend Declared for the Year 31 march 2023</t>
  </si>
  <si>
    <t>Final Dividend for the year ended 31 March 2023</t>
  </si>
  <si>
    <t>DIN:01445523</t>
  </si>
  <si>
    <t>DIN:02745303</t>
  </si>
  <si>
    <t>P B N Murthy</t>
  </si>
  <si>
    <t>P Dhathvik</t>
  </si>
  <si>
    <t>P S R M Lakshmi Prasanna</t>
  </si>
  <si>
    <t>1-Apr-22 to 31-Mar-23</t>
  </si>
  <si>
    <t>Loans (Liability)</t>
  </si>
  <si>
    <t>Bank OD A/c</t>
  </si>
  <si>
    <t>Axis Bank CC</t>
  </si>
  <si>
    <t>Jasmine Bio Labs</t>
  </si>
  <si>
    <t>MSRM International Trading Pvt Ltd</t>
  </si>
  <si>
    <t>Pabbathi Dathvik</t>
  </si>
  <si>
    <t>PABBATHI SIVA RATNA MAHALAKSHMI PRASANNA</t>
  </si>
  <si>
    <t>Pasura Xpress LLP</t>
  </si>
  <si>
    <t>P B N Murthy CC</t>
  </si>
  <si>
    <t>Vishal N</t>
  </si>
  <si>
    <t>GST</t>
  </si>
  <si>
    <t>IGST on Imports</t>
  </si>
  <si>
    <t>Input CGST - RCM</t>
  </si>
  <si>
    <t>Input SGST - RCM</t>
  </si>
  <si>
    <t>Output CGST</t>
  </si>
  <si>
    <t>Output SGST</t>
  </si>
  <si>
    <t>TCS From Creditors</t>
  </si>
  <si>
    <t>TDS On Services</t>
  </si>
  <si>
    <t>CGST</t>
  </si>
  <si>
    <t>IGST</t>
  </si>
  <si>
    <t>Input IGST - RCM</t>
  </si>
  <si>
    <t>SGST</t>
  </si>
  <si>
    <t>Provision for Income Tax</t>
  </si>
  <si>
    <t>Sundry Creditors - Beverages</t>
  </si>
  <si>
    <t>AIX CONNECT PRIVATE LIMITED</t>
  </si>
  <si>
    <t>ALLIANCE AIR AVIATION LIMITED</t>
  </si>
  <si>
    <t>Assured Cargo Carriers</t>
  </si>
  <si>
    <t>Devna Facility Services</t>
  </si>
  <si>
    <t>INTER GLOBE AVIATION LIMITED INDIGO</t>
  </si>
  <si>
    <t>Sivasakthi Insulations</t>
  </si>
  <si>
    <t>Sundry Creditors - Capital Goods</t>
  </si>
  <si>
    <t>TATA AIG GENERAL INSURANCE CO LTD</t>
  </si>
  <si>
    <t>TATA SIA AIRLINES LIMITED</t>
  </si>
  <si>
    <t>JEEVAN CABLE &amp; COMMUNICATION NETWORK</t>
  </si>
  <si>
    <t>Interest on Bank Loans</t>
  </si>
  <si>
    <t>Fixed Assets</t>
  </si>
  <si>
    <t>Construction Work</t>
  </si>
  <si>
    <t>Land Annadevarapet</t>
  </si>
  <si>
    <t>Boiler Erraction</t>
  </si>
  <si>
    <t>Capital Goods Transport</t>
  </si>
  <si>
    <t>CORE SHEET CABLE</t>
  </si>
  <si>
    <t>DAIKIN AC ATKL 50UV16V/RKL50UV16-V.1U</t>
  </si>
  <si>
    <t>Electrical Connection for Annadevapet</t>
  </si>
  <si>
    <t>Electrical Connection for Janagaon</t>
  </si>
  <si>
    <t>Electrical Transformer for RJY</t>
  </si>
  <si>
    <t>INSTALLATION CHARGES</t>
  </si>
  <si>
    <t>Janagaon Shed Construction</t>
  </si>
  <si>
    <t>LAB ITEMS @0%</t>
  </si>
  <si>
    <t>LAB ITEMS @ 12%</t>
  </si>
  <si>
    <t>LAB ITEMS @18%</t>
  </si>
  <si>
    <t>LAB ITEMS @ 5%</t>
  </si>
  <si>
    <t>Motor and Spares</t>
  </si>
  <si>
    <t>NILKAMAL PALLET</t>
  </si>
  <si>
    <t>Plant and Machinary - Annadevarapet</t>
  </si>
  <si>
    <t>Plant and Machinary - Janagaon</t>
  </si>
  <si>
    <t>PRINTERS</t>
  </si>
  <si>
    <t>Stone Crasher</t>
  </si>
  <si>
    <t>Tally Software</t>
  </si>
  <si>
    <t>Telangana Drinking Water Supply Corporation Ltd</t>
  </si>
  <si>
    <t>Tile Laying and Fitting</t>
  </si>
  <si>
    <t>Fixed Deposit  A/c</t>
  </si>
  <si>
    <t>Rental Deposit - Azeez Room</t>
  </si>
  <si>
    <t>Unsecured Security Deposits</t>
  </si>
  <si>
    <t>Bevarages Trading Debtors</t>
  </si>
  <si>
    <t>3Times Bakery</t>
  </si>
  <si>
    <t>5 CAFE</t>
  </si>
  <si>
    <t>9th Bakery</t>
  </si>
  <si>
    <t>A-1 Milk Point</t>
  </si>
  <si>
    <t>A1 Pan Shop</t>
  </si>
  <si>
    <t>A-1 Tiffins</t>
  </si>
  <si>
    <t>Aadhi Laxmi Kirana</t>
  </si>
  <si>
    <t>Aaha Chai</t>
  </si>
  <si>
    <t>Abdul Kirana</t>
  </si>
  <si>
    <t>Abhyudaya Enterprises</t>
  </si>
  <si>
    <t>Afuja Kirana</t>
  </si>
  <si>
    <t>Afzal Kirana Store</t>
  </si>
  <si>
    <t>Ahmed Panshop</t>
  </si>
  <si>
    <t>A I Anand Tiffins</t>
  </si>
  <si>
    <t>Aishwarya Panshop</t>
  </si>
  <si>
    <t>Ajar Kirana</t>
  </si>
  <si>
    <t>Ajay Juice Center</t>
  </si>
  <si>
    <t>A J House</t>
  </si>
  <si>
    <t>A J Tea Stall</t>
  </si>
  <si>
    <t>Ajwa Hotel</t>
  </si>
  <si>
    <t>Akbar Panshop</t>
  </si>
  <si>
    <t>Akhela Kirana Store</t>
  </si>
  <si>
    <t>Akhil Kirana</t>
  </si>
  <si>
    <t>Akshara Kirana</t>
  </si>
  <si>
    <t>Akshara Medical and General</t>
  </si>
  <si>
    <t>Akshaya Juice Point</t>
  </si>
  <si>
    <t>Akshaya Kirana</t>
  </si>
  <si>
    <t>Akshay Chemical and Bajji Hub</t>
  </si>
  <si>
    <t>Akshay Wholesales</t>
  </si>
  <si>
    <t>A L B Kirana</t>
  </si>
  <si>
    <t>Alhamdullah Kirana</t>
  </si>
  <si>
    <t>Alif Bakers</t>
  </si>
  <si>
    <t>Alley Panshop</t>
  </si>
  <si>
    <t>All Mart Kirana</t>
  </si>
  <si>
    <t>Ambica Sweets</t>
  </si>
  <si>
    <t>Amma Milk Point</t>
  </si>
  <si>
    <t>Ammruddin Pan Shop</t>
  </si>
  <si>
    <t>AM Panshop</t>
  </si>
  <si>
    <t>Amul Milk Point</t>
  </si>
  <si>
    <t>Anamika Bakery</t>
  </si>
  <si>
    <t>Anantha Medicals</t>
  </si>
  <si>
    <t>Ananya Super Market</t>
  </si>
  <si>
    <t>Anasuya Snacks</t>
  </si>
  <si>
    <t>A N General Store</t>
  </si>
  <si>
    <t>Ani Bakery</t>
  </si>
  <si>
    <t>Anil Kirana</t>
  </si>
  <si>
    <t>Anjali Mart</t>
  </si>
  <si>
    <t>Anjani Mini Mart</t>
  </si>
  <si>
    <t>Ankura Hospital</t>
  </si>
  <si>
    <t>Annapurna Mess Ayyappa Society</t>
  </si>
  <si>
    <t>Annapurna Take Away</t>
  </si>
  <si>
    <t>A N Panshop</t>
  </si>
  <si>
    <t>Anu Foods</t>
  </si>
  <si>
    <t>Anuradha Tea Stall</t>
  </si>
  <si>
    <t>Anusha Kirana</t>
  </si>
  <si>
    <t>Apna Panshop</t>
  </si>
  <si>
    <t>Apna Tea stall</t>
  </si>
  <si>
    <t>Apollo Specialty Hospitals Pvt Ltd</t>
  </si>
  <si>
    <t>Apoorva Kirana</t>
  </si>
  <si>
    <t>Apple Kirana</t>
  </si>
  <si>
    <t>Arjun Fast Food</t>
  </si>
  <si>
    <t>Arjun Tea Shop</t>
  </si>
  <si>
    <t>A R Kirana</t>
  </si>
  <si>
    <t>Ashok Kirana</t>
  </si>
  <si>
    <t>Ashok Tea Point</t>
  </si>
  <si>
    <t>Ashwini Medicals</t>
  </si>
  <si>
    <t>Asia Kerala</t>
  </si>
  <si>
    <t>Asnath Kirana</t>
  </si>
  <si>
    <t>A S Panshop</t>
  </si>
  <si>
    <t>Asritha Agencies Wholesale</t>
  </si>
  <si>
    <t>AS Tea Stall</t>
  </si>
  <si>
    <t>ATN Global Office</t>
  </si>
  <si>
    <t>A TO Z ENTERPRISES</t>
  </si>
  <si>
    <t>Ayyappa Kirana Store</t>
  </si>
  <si>
    <t>Babai Gari Hotel</t>
  </si>
  <si>
    <t>Babai Hotel</t>
  </si>
  <si>
    <t>Baba Panshop</t>
  </si>
  <si>
    <t>Baba Wholesale</t>
  </si>
  <si>
    <t>Bake Magic Foods</t>
  </si>
  <si>
    <t>Baker Street</t>
  </si>
  <si>
    <t>Bala Hotel</t>
  </si>
  <si>
    <t>Balaji Bakery</t>
  </si>
  <si>
    <t>Balaji Book Shop</t>
  </si>
  <si>
    <t>BALAJI CURRY POINT</t>
  </si>
  <si>
    <t>BALAJI FAST FOOD</t>
  </si>
  <si>
    <t>Balaji Gopichand Kirana</t>
  </si>
  <si>
    <t>Balaji Grand Bazaar</t>
  </si>
  <si>
    <t>Balaji KGS</t>
  </si>
  <si>
    <t>Balaji Kirana</t>
  </si>
  <si>
    <t>Balaji Kirana Shop</t>
  </si>
  <si>
    <t>Balaji Mithai Bandhar</t>
  </si>
  <si>
    <t>Balaji Om Prakash Chat Bakery</t>
  </si>
  <si>
    <t>Balaji Ram Mithai Bandhar</t>
  </si>
  <si>
    <t>Balaji Ram Swaroop Sweets</t>
  </si>
  <si>
    <t>Balaji Sai Kirana</t>
  </si>
  <si>
    <t>Balaji Sri Kirana</t>
  </si>
  <si>
    <t>Balaji Sweets</t>
  </si>
  <si>
    <t>Balaji Tea Stall</t>
  </si>
  <si>
    <t>Balaji Wholesale</t>
  </si>
  <si>
    <t>Banana Shop</t>
  </si>
  <si>
    <t>BANGLORE BAKERY</t>
  </si>
  <si>
    <t>Begam Kirana</t>
  </si>
  <si>
    <t>Bhanu Medicals</t>
  </si>
  <si>
    <t>Bharath Kirana</t>
  </si>
  <si>
    <t>Bhargavi Kirana</t>
  </si>
  <si>
    <t>Bhasker Kirana</t>
  </si>
  <si>
    <t>Bhavani Kirana</t>
  </si>
  <si>
    <t>Bhavani Krishna Kirana</t>
  </si>
  <si>
    <t>Bhojanam Biryani</t>
  </si>
  <si>
    <t>Bhoomika Tiffins</t>
  </si>
  <si>
    <t>Bidhan Foods</t>
  </si>
  <si>
    <t>Bismillah Bakery</t>
  </si>
  <si>
    <t>Bismillah Kirana</t>
  </si>
  <si>
    <t>Bismillah Panshop</t>
  </si>
  <si>
    <t>B L Panshop</t>
  </si>
  <si>
    <t>BLR Traders</t>
  </si>
  <si>
    <t>Bollam Kirana</t>
  </si>
  <si>
    <t>Botanical Panshop</t>
  </si>
  <si>
    <t>B S R Kirana</t>
  </si>
  <si>
    <t>B S S Kirana</t>
  </si>
  <si>
    <t>Bullian Panshop</t>
  </si>
  <si>
    <t>B V Kirana Shop</t>
  </si>
  <si>
    <t>Casa D Rasa</t>
  </si>
  <si>
    <t>Cash Customer</t>
  </si>
  <si>
    <t>Cash Customer (Old)</t>
  </si>
  <si>
    <t>CBIT College Gandipet</t>
  </si>
  <si>
    <t>C C Fast Food</t>
  </si>
  <si>
    <t>Chai Adda</t>
  </si>
  <si>
    <t>Chai Center</t>
  </si>
  <si>
    <t>Chai Crunch</t>
  </si>
  <si>
    <t>Chai Ki Bandi</t>
  </si>
  <si>
    <t>Chai Lovers</t>
  </si>
  <si>
    <t>Chai Masti</t>
  </si>
  <si>
    <t>Chai Muchatlu</t>
  </si>
  <si>
    <t>Chak De Fast Food</t>
  </si>
  <si>
    <t>Chaloom Kirana Store</t>
  </si>
  <si>
    <t>Chandamama Tiffins</t>
  </si>
  <si>
    <t>Chandhan Singh Kirana Shop</t>
  </si>
  <si>
    <t>Chandra Kirana</t>
  </si>
  <si>
    <t>Chinese Fast Food</t>
  </si>
  <si>
    <t>Chitti Raj Kirana</t>
  </si>
  <si>
    <t>Chowrastha Chai</t>
  </si>
  <si>
    <t>CIL Debtors</t>
  </si>
  <si>
    <t>Citizen Pan.Com</t>
  </si>
  <si>
    <t>City Bakery</t>
  </si>
  <si>
    <t>Clark De Stationary</t>
  </si>
  <si>
    <t>Classic Pan Shop</t>
  </si>
  <si>
    <t>C Mart</t>
  </si>
  <si>
    <t>Crazy Pan Shop</t>
  </si>
  <si>
    <t>C S R Commercial</t>
  </si>
  <si>
    <t>Cyber Pharmacy</t>
  </si>
  <si>
    <t>Damyanthi Diwan</t>
  </si>
  <si>
    <t>Datta Hanuman Kirana</t>
  </si>
  <si>
    <t>Deccan Enterprises</t>
  </si>
  <si>
    <t>Deepak Tea Stall</t>
  </si>
  <si>
    <t>Delhiwala Sweets</t>
  </si>
  <si>
    <t>Desi Chaiwala</t>
  </si>
  <si>
    <t>Devanand Wholesale , Rc Puram</t>
  </si>
  <si>
    <t>Devarakonda Raju</t>
  </si>
  <si>
    <t>Devi Kirana Store</t>
  </si>
  <si>
    <t>Dev Kirana</t>
  </si>
  <si>
    <t>DHANA LAKSHMI KIRANA</t>
  </si>
  <si>
    <t>Dhana Laxmi Wholesales</t>
  </si>
  <si>
    <t>DHANLAKSHMI PACKAGING INDUSTRIES PRIVATE LIMITED</t>
  </si>
  <si>
    <t>DIAMOND TRADERS Lingampally</t>
  </si>
  <si>
    <t>Divya Darshini Tiffins</t>
  </si>
  <si>
    <t>Divya Kirana Shop</t>
  </si>
  <si>
    <t>Divya Mithai Shop</t>
  </si>
  <si>
    <t>Divya Super Market</t>
  </si>
  <si>
    <t>Dodla Milk</t>
  </si>
  <si>
    <t>Dome Store</t>
  </si>
  <si>
    <t>Dost Tea</t>
  </si>
  <si>
    <t>D P C Tea Stall</t>
  </si>
  <si>
    <t>DS Gani Kirana</t>
  </si>
  <si>
    <t>Durga Cool Drinks</t>
  </si>
  <si>
    <t>Durga Foods</t>
  </si>
  <si>
    <t>Eleven Restaurent</t>
  </si>
  <si>
    <t>Empires Garden Drive in</t>
  </si>
  <si>
    <t>Eshwara Kirana</t>
  </si>
  <si>
    <t>F9 Pharmacy</t>
  </si>
  <si>
    <t>Fast Food Centre</t>
  </si>
  <si>
    <t>Feri Lay Panshop</t>
  </si>
  <si>
    <t>Filter Coffee</t>
  </si>
  <si>
    <t>Five Dose Food Court</t>
  </si>
  <si>
    <t>Five Star Tea Stall</t>
  </si>
  <si>
    <t>Food Court</t>
  </si>
  <si>
    <t>Food Junction</t>
  </si>
  <si>
    <t>Fortune Filter Coffee</t>
  </si>
  <si>
    <t>Friends Bakery</t>
  </si>
  <si>
    <t>Friends Food Court</t>
  </si>
  <si>
    <t>Friends Kirana</t>
  </si>
  <si>
    <t>Friends Tea Point</t>
  </si>
  <si>
    <t>Gachibowli Stadium</t>
  </si>
  <si>
    <t>Ganapathi Kirana</t>
  </si>
  <si>
    <t>Ganapayya Wholesale Chandanagar</t>
  </si>
  <si>
    <t>GANESH KIRANA</t>
  </si>
  <si>
    <t>Ganga Bhavani Wholesale</t>
  </si>
  <si>
    <t>GAYATRI TRADERS</t>
  </si>
  <si>
    <t>G Bawarchi Panshop</t>
  </si>
  <si>
    <t>Geetha Kirana</t>
  </si>
  <si>
    <t>General Store</t>
  </si>
  <si>
    <t>General Tea Shop</t>
  </si>
  <si>
    <t>Ghmc Shop</t>
  </si>
  <si>
    <t>Gnana Kirana Store</t>
  </si>
  <si>
    <t>Gnana Sai Kirana</t>
  </si>
  <si>
    <t>GNR AGENCIES</t>
  </si>
  <si>
    <t>Godavari Curry Point</t>
  </si>
  <si>
    <t>Gokaraju Rangaraju College</t>
  </si>
  <si>
    <t>Gokul Fast Food</t>
  </si>
  <si>
    <t>Golden General Store</t>
  </si>
  <si>
    <t>Golden Panmahal</t>
  </si>
  <si>
    <t>Gouds Tea Stall</t>
  </si>
  <si>
    <t>Govardhan Reddy</t>
  </si>
  <si>
    <t>Green Bawarchi Madhapur</t>
  </si>
  <si>
    <t>Green Leaf Store</t>
  </si>
  <si>
    <t>Gudivada Vari Babai Hotel</t>
  </si>
  <si>
    <t>Guest Hotel</t>
  </si>
  <si>
    <t>Guntur Idli</t>
  </si>
  <si>
    <t>Gurudatta Cool Drinks</t>
  </si>
  <si>
    <t>Habibi Panshop</t>
  </si>
  <si>
    <t>Haji Kirana</t>
  </si>
  <si>
    <t>Hanifa Kirana</t>
  </si>
  <si>
    <t>Hanuman Sweets</t>
  </si>
  <si>
    <t>Happy Milan Panshop</t>
  </si>
  <si>
    <t>Hari Kirana Store</t>
  </si>
  <si>
    <t>Haritha Cool Drinks</t>
  </si>
  <si>
    <t>Harsha Panshop</t>
  </si>
  <si>
    <t>Haveli Panmahal</t>
  </si>
  <si>
    <t>HELLOO BHAIAAH</t>
  </si>
  <si>
    <t>Heritage Milk</t>
  </si>
  <si>
    <t>Hightech Panshop</t>
  </si>
  <si>
    <t>Hitech Bawarchi</t>
  </si>
  <si>
    <t>Hitech Panshop</t>
  </si>
  <si>
    <t>Hi-Tech Store</t>
  </si>
  <si>
    <t>H K Chicken Center</t>
  </si>
  <si>
    <t>HKGN Kirana</t>
  </si>
  <si>
    <t>HK Panmahal</t>
  </si>
  <si>
    <t>Hocco Eatery</t>
  </si>
  <si>
    <t>Home Fresh</t>
  </si>
  <si>
    <t>Honeefa Kiranan &amp; General</t>
  </si>
  <si>
    <t>Honey Bar&amp;Restaurent</t>
  </si>
  <si>
    <t>Hoor Pan Mahal</t>
  </si>
  <si>
    <t>Hot Chai Adda</t>
  </si>
  <si>
    <t>Hotel 99 Inn</t>
  </si>
  <si>
    <t>Hotel Guest</t>
  </si>
  <si>
    <t>Hot Spot Bar</t>
  </si>
  <si>
    <t>Hot Tea's</t>
  </si>
  <si>
    <t>House of Food</t>
  </si>
  <si>
    <t>Hunger Zone</t>
  </si>
  <si>
    <t>Hunk Panmahal</t>
  </si>
  <si>
    <t>Hyd Pan Mahal</t>
  </si>
  <si>
    <t>IIIT College</t>
  </si>
  <si>
    <t>I Max Pan Mahal</t>
  </si>
  <si>
    <t>Inko Tea Stall</t>
  </si>
  <si>
    <t>Inn Pan Shop</t>
  </si>
  <si>
    <t>Inunnu Canteen</t>
  </si>
  <si>
    <t>ISHWAR GENERAL STORE</t>
  </si>
  <si>
    <t>Iyangar Bakery</t>
  </si>
  <si>
    <t>Iyub Panshop</t>
  </si>
  <si>
    <t>Izhap Pan Shop</t>
  </si>
  <si>
    <t>Jaasee Kirana Store</t>
  </si>
  <si>
    <t>Jagadamba Wines</t>
  </si>
  <si>
    <t>Jagadhamba Kirana</t>
  </si>
  <si>
    <t>Jagan Kirana</t>
  </si>
  <si>
    <t>Jagath Reddy</t>
  </si>
  <si>
    <t>Jai Bhavani Fastfood</t>
  </si>
  <si>
    <t>Jai Bhavani Tea Stall</t>
  </si>
  <si>
    <t>Jai Durga Bhavani Kirana</t>
  </si>
  <si>
    <t>JAI GURUDEV KIRANA</t>
  </si>
  <si>
    <t>Jai Hanuman Sweet Shop</t>
  </si>
  <si>
    <t>Jai Kirana</t>
  </si>
  <si>
    <t>Jai Lakshmi Tea Stall</t>
  </si>
  <si>
    <t>Jai Laxmi Kirana</t>
  </si>
  <si>
    <t>Jai Majisa Kirana Store</t>
  </si>
  <si>
    <t>Jai Mathaji Kirana</t>
  </si>
  <si>
    <t>Jai Mathaji Pan Shop</t>
  </si>
  <si>
    <t>Jai Mathaji Wholesale</t>
  </si>
  <si>
    <t>Jai Matha Kirana</t>
  </si>
  <si>
    <t>Jai Santoshi Matha  Kirana</t>
  </si>
  <si>
    <t>Jai Sri Hanuman Sweets</t>
  </si>
  <si>
    <t>Jakeer Pan Shop</t>
  </si>
  <si>
    <t>Janatha Kirana</t>
  </si>
  <si>
    <t>Jayalaxmi Kirana</t>
  </si>
  <si>
    <t>Jayalaxmi Wholesales</t>
  </si>
  <si>
    <t>J B Kirana</t>
  </si>
  <si>
    <t>Jio Kirana</t>
  </si>
  <si>
    <t>Jio Mart Kirana</t>
  </si>
  <si>
    <t>Jio Smart</t>
  </si>
  <si>
    <t>J K A KIRANA</t>
  </si>
  <si>
    <t>J K Kirana</t>
  </si>
  <si>
    <t>J K Tea Shop</t>
  </si>
  <si>
    <t>JPS TRADERS</t>
  </si>
  <si>
    <t>Jubblie Wine Spot</t>
  </si>
  <si>
    <t>Juice Shop</t>
  </si>
  <si>
    <t>Jyothi Kirana</t>
  </si>
  <si>
    <t>Jyothi Medicals</t>
  </si>
  <si>
    <t>Kaka Chai</t>
  </si>
  <si>
    <t>Kalyani Kirana</t>
  </si>
  <si>
    <t>Kalyan Kirana</t>
  </si>
  <si>
    <t>KAMAKSHI KIRANA</t>
  </si>
  <si>
    <t>Kamakshi Milk Store</t>
  </si>
  <si>
    <t>Kamala Traders Wholesale LB NAGAR</t>
  </si>
  <si>
    <t>Kamal Kirana</t>
  </si>
  <si>
    <t>Kanelones Bakery</t>
  </si>
  <si>
    <t>Kanna Rao Tea Stall</t>
  </si>
  <si>
    <t>Karam Bytes</t>
  </si>
  <si>
    <t>Karim Kirana</t>
  </si>
  <si>
    <t>Karthikeya Kirana</t>
  </si>
  <si>
    <t>Karthik Pan Shop</t>
  </si>
  <si>
    <t>Karthik Tea Stall</t>
  </si>
  <si>
    <t>Kashinath Kirana</t>
  </si>
  <si>
    <t>Kay Refresh Market</t>
  </si>
  <si>
    <t>K B N Medicals</t>
  </si>
  <si>
    <t>Keerthana Panshop</t>
  </si>
  <si>
    <t>Keerthi Online Center</t>
  </si>
  <si>
    <t>Kesariya Kirana</t>
  </si>
  <si>
    <t>KGN Enterprises</t>
  </si>
  <si>
    <t>KHAJA ENTERPRISES</t>
  </si>
  <si>
    <t>Khaja Hotel</t>
  </si>
  <si>
    <t>Khaleed Pan Shop</t>
  </si>
  <si>
    <t>Khazajabi Wholesale</t>
  </si>
  <si>
    <t>K H N Panshop</t>
  </si>
  <si>
    <t>King of Drinks</t>
  </si>
  <si>
    <t>Kings Bekary</t>
  </si>
  <si>
    <t>King Tent Panshop</t>
  </si>
  <si>
    <t>Kirana Store</t>
  </si>
  <si>
    <t>Kishan Kirana</t>
  </si>
  <si>
    <t>KISHORE BACHUPALLY</t>
  </si>
  <si>
    <t>K J B Kirana Store</t>
  </si>
  <si>
    <t>Kohinoor Panshop</t>
  </si>
  <si>
    <t>Konaseema Vindhu</t>
  </si>
  <si>
    <t>K P V Kirana</t>
  </si>
  <si>
    <t>Krishna Kirana</t>
  </si>
  <si>
    <t>Krishna Tiffins</t>
  </si>
  <si>
    <t>Krishna Wholesale</t>
  </si>
  <si>
    <t>Krupa Tiffins</t>
  </si>
  <si>
    <t>Kumar Kirana</t>
  </si>
  <si>
    <t>Kumar Shop</t>
  </si>
  <si>
    <t>Kumar Tea Shop</t>
  </si>
  <si>
    <t>Laggoni Linga Chityal</t>
  </si>
  <si>
    <t>LAKSHMI KANTHAYYA KIRANA</t>
  </si>
  <si>
    <t>LAKSHMI KIRANA</t>
  </si>
  <si>
    <t>Lakshmi Super Market</t>
  </si>
  <si>
    <t>Lakshmi Tea Stall</t>
  </si>
  <si>
    <t>Lakshmi Tiffin Center Ayyappa Society</t>
  </si>
  <si>
    <t>Lakshyas Agri Solutions Pvt.Ltd</t>
  </si>
  <si>
    <t>Lalitha Kirana</t>
  </si>
  <si>
    <t>Lalitha Super Market</t>
  </si>
  <si>
    <t>Latha Kirana</t>
  </si>
  <si>
    <t>Lavanya Kirana</t>
  </si>
  <si>
    <t>Laxmi Fastfood</t>
  </si>
  <si>
    <t>Laxmi Flowers</t>
  </si>
  <si>
    <t>Laxmi Kirana Store</t>
  </si>
  <si>
    <t>Laxmi Narasimha Kirana</t>
  </si>
  <si>
    <t>Laxmi Narasimha Sweet Shop</t>
  </si>
  <si>
    <t>Laxmi Panshop</t>
  </si>
  <si>
    <t>Laxmi Store</t>
  </si>
  <si>
    <t>Laxmi Tea Stall</t>
  </si>
  <si>
    <t>Laxmi Tulasi Tiffins</t>
  </si>
  <si>
    <t>L B Mart</t>
  </si>
  <si>
    <t>Leading with Flavour</t>
  </si>
  <si>
    <t>Likitha Tea Stall</t>
  </si>
  <si>
    <t>Limra Pan Shop</t>
  </si>
  <si>
    <t>L N V Bakery</t>
  </si>
  <si>
    <t>L N V Banglore Bakery</t>
  </si>
  <si>
    <t>Lovely Hotchips</t>
  </si>
  <si>
    <t>Lucky Tea Stall</t>
  </si>
  <si>
    <t>Ludiya Super Market</t>
  </si>
  <si>
    <t>LUNA PAN SHOP</t>
  </si>
  <si>
    <t>L V Mart</t>
  </si>
  <si>
    <t>Maa Bhavani Kirana</t>
  </si>
  <si>
    <t>Maa Jyoti Kirana</t>
  </si>
  <si>
    <t>MADHAN REDDY KIRANA</t>
  </si>
  <si>
    <t>Madhan Singh Kirana</t>
  </si>
  <si>
    <t>Madhapur Wine Mart</t>
  </si>
  <si>
    <t>Madhavi Kirana</t>
  </si>
  <si>
    <t>Madhina Irani Chai</t>
  </si>
  <si>
    <t>Madhina Pan Shop</t>
  </si>
  <si>
    <t>MADHINA TEA STALL</t>
  </si>
  <si>
    <t>MADHU KIRANA</t>
  </si>
  <si>
    <t>M A Fresh</t>
  </si>
  <si>
    <t>M A Genral Store</t>
  </si>
  <si>
    <t>Maggi Center</t>
  </si>
  <si>
    <t>Mahadev Kirana</t>
  </si>
  <si>
    <t>Mahalakshmi Kirana and General</t>
  </si>
  <si>
    <t>Mahalakshmi Tea Stall</t>
  </si>
  <si>
    <t>Mahalaxmi Kirana</t>
  </si>
  <si>
    <t>Mahesh Communication</t>
  </si>
  <si>
    <t>Mahesh Kirana</t>
  </si>
  <si>
    <t>Mahesh Kondapur</t>
  </si>
  <si>
    <t>Mahesh Pan Shop</t>
  </si>
  <si>
    <t>Majestic Gardens</t>
  </si>
  <si>
    <t>M A Kirana</t>
  </si>
  <si>
    <t>Malkhe Kirana</t>
  </si>
  <si>
    <t>MALLAREDY COLLEGE SURARAM</t>
  </si>
  <si>
    <t>Malleshwari Kirana</t>
  </si>
  <si>
    <t>Mallikarjuna Super Market</t>
  </si>
  <si>
    <t>Mama's Tiffins</t>
  </si>
  <si>
    <t>Mama Panshop</t>
  </si>
  <si>
    <t>Mamu's Panshop</t>
  </si>
  <si>
    <t>Manadhe Adda Mawa Food Junction</t>
  </si>
  <si>
    <t>Manisha Kirana</t>
  </si>
  <si>
    <t>Manish Treaders</t>
  </si>
  <si>
    <t>Manjunath Banglore Bakery</t>
  </si>
  <si>
    <t>Manmadha Rao Wholesale</t>
  </si>
  <si>
    <t>Manohar Kirana</t>
  </si>
  <si>
    <t>Manoj</t>
  </si>
  <si>
    <t>Manoj Juice Point</t>
  </si>
  <si>
    <t>Maruthi Kirana</t>
  </si>
  <si>
    <t>Marwadi Shop</t>
  </si>
  <si>
    <t>MASTHAN KIRANA</t>
  </si>
  <si>
    <t>Mathaji Kirana</t>
  </si>
  <si>
    <t>Md Siraj Pan Shop</t>
  </si>
  <si>
    <t>Md Wajid Wholesale</t>
  </si>
  <si>
    <t>Meals Hotel</t>
  </si>
  <si>
    <t>Medical Shop</t>
  </si>
  <si>
    <t>Medis Medicals</t>
  </si>
  <si>
    <t>Men's Saloon</t>
  </si>
  <si>
    <t>Milan Pan House</t>
  </si>
  <si>
    <t>Milan Panshop</t>
  </si>
  <si>
    <t>Milk Juice Shop</t>
  </si>
  <si>
    <t>M K Panshop</t>
  </si>
  <si>
    <t>M K STORE WHOLESALE</t>
  </si>
  <si>
    <t>M M Enterprises</t>
  </si>
  <si>
    <t>M M Medicals</t>
  </si>
  <si>
    <t>M M S Medicals</t>
  </si>
  <si>
    <t>M N Panshop</t>
  </si>
  <si>
    <t>Modal Milk</t>
  </si>
  <si>
    <t>Model Milk</t>
  </si>
  <si>
    <t>Mohammad Traders</t>
  </si>
  <si>
    <t>Mohammad Wholesale</t>
  </si>
  <si>
    <t>Mohd Panshop</t>
  </si>
  <si>
    <t>M Panshop</t>
  </si>
  <si>
    <t>M R Bakery</t>
  </si>
  <si>
    <t>Mr Chai</t>
  </si>
  <si>
    <t>M R Kirana Stores</t>
  </si>
  <si>
    <t>Mr Kookin</t>
  </si>
  <si>
    <t>M R Shawarma</t>
  </si>
  <si>
    <t>MRS Wholesale</t>
  </si>
  <si>
    <t>M R Traders</t>
  </si>
  <si>
    <t>MR Travel Services</t>
  </si>
  <si>
    <t>M S Panmahal</t>
  </si>
  <si>
    <t>M S R Kitchens</t>
  </si>
  <si>
    <t>M/S. SAI MANIKANTA TRADERS</t>
  </si>
  <si>
    <t>Mukesh Kirana</t>
  </si>
  <si>
    <t>Mukka Muddha Restaurent</t>
  </si>
  <si>
    <t>MUNDAN SINGH KIRANA STORE</t>
  </si>
  <si>
    <t>Munna Kirana Store</t>
  </si>
  <si>
    <t>MVR KIRANA</t>
  </si>
  <si>
    <t>MVS Traders</t>
  </si>
  <si>
    <t>Naga Lakshmi Kirana</t>
  </si>
  <si>
    <t>Nagalaxmi Tea Stall</t>
  </si>
  <si>
    <t>Nagamani Tea Point</t>
  </si>
  <si>
    <t>Nagaraju Tea Stall</t>
  </si>
  <si>
    <t>Nagarjuna Milk Parlour</t>
  </si>
  <si>
    <t>Naidu Tiffin Center</t>
  </si>
  <si>
    <t>Nala Pakam Restaurent</t>
  </si>
  <si>
    <t>Nandhan Foods</t>
  </si>
  <si>
    <t>Nandhini Kirana</t>
  </si>
  <si>
    <t>Nandini Tea Stall</t>
  </si>
  <si>
    <t>Narasimha Kirana</t>
  </si>
  <si>
    <t>Narasimha Panshop</t>
  </si>
  <si>
    <t>Narender Communications</t>
  </si>
  <si>
    <t>Narendra Kirana</t>
  </si>
  <si>
    <t>Naresh General Store</t>
  </si>
  <si>
    <t>Naresh Real Estate</t>
  </si>
  <si>
    <t>Nasar Canteen</t>
  </si>
  <si>
    <t>Natural Kart</t>
  </si>
  <si>
    <t>Navadurga Super Market</t>
  </si>
  <si>
    <t>Navayuga Hotel Chanda Nagar</t>
  </si>
  <si>
    <t>Navayuga Mess and Restaurent</t>
  </si>
  <si>
    <t>Navika Enterprises</t>
  </si>
  <si>
    <t>New Bridge Pan Shop</t>
  </si>
  <si>
    <t>New Green Bakery</t>
  </si>
  <si>
    <t>NEW KAZMAL KIRANA</t>
  </si>
  <si>
    <t>New Kohinoor Pan Mahal</t>
  </si>
  <si>
    <t>New Mathaji Kirana</t>
  </si>
  <si>
    <t>New Pan Mahal</t>
  </si>
  <si>
    <t>New Tasty Bakers</t>
  </si>
  <si>
    <t>Nirmala Tea Stall</t>
  </si>
  <si>
    <t>N K Foods</t>
  </si>
  <si>
    <t>Nomasa Store</t>
  </si>
  <si>
    <t>Noor Panmahal</t>
  </si>
  <si>
    <t>Nut &amp; Nest</t>
  </si>
  <si>
    <t>Office</t>
  </si>
  <si>
    <t>Olive Medicals</t>
  </si>
  <si>
    <t>Om Balaji Traders Shapur</t>
  </si>
  <si>
    <t>Omega Hotel Hafeezpet</t>
  </si>
  <si>
    <t>Omer Medicals</t>
  </si>
  <si>
    <t>Om Sai Jai Sai Milk Parlour</t>
  </si>
  <si>
    <t>Om Sai Kirana</t>
  </si>
  <si>
    <t>Om Sai Meghana Kirana Store</t>
  </si>
  <si>
    <t>OM SAI MITHAI STORE</t>
  </si>
  <si>
    <t>Om Sai Ram</t>
  </si>
  <si>
    <t>Om Sai Ram Tea Stall</t>
  </si>
  <si>
    <t>Om Sai Sweets</t>
  </si>
  <si>
    <t>Om Sree Sai</t>
  </si>
  <si>
    <t>Om Sri Sai Laxmi</t>
  </si>
  <si>
    <t>Orange Bakers</t>
  </si>
  <si>
    <t>Padma Shop</t>
  </si>
  <si>
    <t>Padmavathi Kirana</t>
  </si>
  <si>
    <t>Pakka Hyderabadhi Biryani</t>
  </si>
  <si>
    <t>Palletoori Dosa</t>
  </si>
  <si>
    <t>Pan Adda</t>
  </si>
  <si>
    <t>Pan Bahar Panshop</t>
  </si>
  <si>
    <t>Pan Darbar</t>
  </si>
  <si>
    <t>Pan Haveli</t>
  </si>
  <si>
    <t>Pan Mahal</t>
  </si>
  <si>
    <t>Panshop</t>
  </si>
  <si>
    <t>Pan Zone</t>
  </si>
  <si>
    <t>Parvathi Stores</t>
  </si>
  <si>
    <t>Passura Express</t>
  </si>
  <si>
    <t>Patil Katta</t>
  </si>
  <si>
    <t>Pavan General Store and Stationery</t>
  </si>
  <si>
    <t>Pavani Kirana</t>
  </si>
  <si>
    <t>Pavani Milk Point</t>
  </si>
  <si>
    <t>Pavan Tea Stall</t>
  </si>
  <si>
    <t>Pawan Tiffins</t>
  </si>
  <si>
    <t>P B C FOODS</t>
  </si>
  <si>
    <t>Peddammathalli Kirana Store</t>
  </si>
  <si>
    <t>P G N Shravanan</t>
  </si>
  <si>
    <t>Pharm Easy</t>
  </si>
  <si>
    <t>Phoenix School</t>
  </si>
  <si>
    <t>Polimera's Vegetable Market</t>
  </si>
  <si>
    <t>Pooja Kirana</t>
  </si>
  <si>
    <t>Poorna Milk Point</t>
  </si>
  <si>
    <t>Pop O Bob Tea Cafe</t>
  </si>
  <si>
    <t>Pradeep Kirana</t>
  </si>
  <si>
    <t>Pradham Infratech</t>
  </si>
  <si>
    <t>Prakash Kirana</t>
  </si>
  <si>
    <t>Prasad Kirana</t>
  </si>
  <si>
    <t>Prashanthi Kirana</t>
  </si>
  <si>
    <t>Prashanth Kirana Store</t>
  </si>
  <si>
    <t>Praveen Kirana</t>
  </si>
  <si>
    <t>Praveen Malkajgiri</t>
  </si>
  <si>
    <t>Prem Bansal Wholesales</t>
  </si>
  <si>
    <t>Premkumar Tea Stall</t>
  </si>
  <si>
    <t>PREM PANSHOP</t>
  </si>
  <si>
    <t>Priya General Store</t>
  </si>
  <si>
    <t>Priyanka Kirana</t>
  </si>
  <si>
    <t>P R Kirana</t>
  </si>
  <si>
    <t>Punjab Dhaba</t>
  </si>
  <si>
    <t>Quadriya Bakers Hafeezpet</t>
  </si>
  <si>
    <t>Radha Krishna Kirana</t>
  </si>
  <si>
    <t>Radha Manohar Kirana</t>
  </si>
  <si>
    <t>Rafeeq Pan Shop</t>
  </si>
  <si>
    <t>Raghava Reddy Biryani</t>
  </si>
  <si>
    <t>Raghavendra Kirana Store</t>
  </si>
  <si>
    <t>Raghavendra Pan Shop</t>
  </si>
  <si>
    <t>Raghu  Tea  Stall</t>
  </si>
  <si>
    <t>Raheem Panshop</t>
  </si>
  <si>
    <t>Rahim Pan Shop</t>
  </si>
  <si>
    <t>Rahul Pan Shop</t>
  </si>
  <si>
    <t>Raja Kirana</t>
  </si>
  <si>
    <t>Rajan Kirana</t>
  </si>
  <si>
    <t>Raja Rajeshwari Kirana</t>
  </si>
  <si>
    <t>Rajesh Medicals</t>
  </si>
  <si>
    <t>Rajesh Suryapet</t>
  </si>
  <si>
    <t>Raju Kirana</t>
  </si>
  <si>
    <t>Raju Tea Point</t>
  </si>
  <si>
    <t>Raju Wholesale</t>
  </si>
  <si>
    <t>Rajyalakshmi Traders</t>
  </si>
  <si>
    <t>Rajyalaxmi Kirana</t>
  </si>
  <si>
    <t>Rajyalaxmi Panshop</t>
  </si>
  <si>
    <t>Rakesh Kirana</t>
  </si>
  <si>
    <t>Raman Tea Point</t>
  </si>
  <si>
    <t>Ramdev General Store</t>
  </si>
  <si>
    <t>Ramdev Kirana Stores</t>
  </si>
  <si>
    <t>Ramdev Tea Stall</t>
  </si>
  <si>
    <t>Rameah Kirana</t>
  </si>
  <si>
    <t>Ramesh Pan Shop</t>
  </si>
  <si>
    <t>Ram Kirana</t>
  </si>
  <si>
    <t>Ram Murthy Kirana</t>
  </si>
  <si>
    <t>RAM SWAROOP MITHAI</t>
  </si>
  <si>
    <t>RAMU KIRANA</t>
  </si>
  <si>
    <t>Ramu Panshop</t>
  </si>
  <si>
    <t>Ranganath Kirana</t>
  </si>
  <si>
    <t>Ranjith Kirana</t>
  </si>
  <si>
    <t>Ravi Kirana Store</t>
  </si>
  <si>
    <t>Raviteja ISR</t>
  </si>
  <si>
    <t>RAVI WHOLESALE</t>
  </si>
  <si>
    <t>RCT Panshop</t>
  </si>
  <si>
    <t>Red Bucket Biryani</t>
  </si>
  <si>
    <t>Reddy Cool Drinks Nizampet</t>
  </si>
  <si>
    <t>Reddy Tea Stall</t>
  </si>
  <si>
    <t>Refreshment Panshop</t>
  </si>
  <si>
    <t>Rehan Panshop</t>
  </si>
  <si>
    <t>Rehmat Bakery Hafeezpet</t>
  </si>
  <si>
    <t>Renuka Kirana</t>
  </si>
  <si>
    <t>Revathi Kirana</t>
  </si>
  <si>
    <t>Rishi Fast Food</t>
  </si>
  <si>
    <t>Rizwan Kirana</t>
  </si>
  <si>
    <t>RK Kirana</t>
  </si>
  <si>
    <t>R K Panshop</t>
  </si>
  <si>
    <t>Rohini Kirana</t>
  </si>
  <si>
    <t>Roja Kirana Stores</t>
  </si>
  <si>
    <t>Rose Panshop</t>
  </si>
  <si>
    <t>Royal Kings Bakery</t>
  </si>
  <si>
    <t>Royal Pan Mahal</t>
  </si>
  <si>
    <t>Royal Tea Point</t>
  </si>
  <si>
    <t>RPK Kirana</t>
  </si>
  <si>
    <t>R R Hotel</t>
  </si>
  <si>
    <t>R R Kadapa Ruchulu</t>
  </si>
  <si>
    <t>R R Tea Stall</t>
  </si>
  <si>
    <t>R S Bakers</t>
  </si>
  <si>
    <t>RS Soups &amp; Snacks</t>
  </si>
  <si>
    <t>Rukmini Tea Stall</t>
  </si>
  <si>
    <t>Rupa Mess</t>
  </si>
  <si>
    <t>Rupa Xerox Center</t>
  </si>
  <si>
    <t>Rvr Stall</t>
  </si>
  <si>
    <t>Saad Milk Zone</t>
  </si>
  <si>
    <t>Sadak Milks</t>
  </si>
  <si>
    <t>Saga Bistro</t>
  </si>
  <si>
    <t>Sagar Panshop</t>
  </si>
  <si>
    <t>Sahaja Kirana</t>
  </si>
  <si>
    <t>Sahara Tea and Cool Drinks</t>
  </si>
  <si>
    <t>Sahera Tea &amp; Cooldrinks</t>
  </si>
  <si>
    <t>Sai Balaji Arcade</t>
  </si>
  <si>
    <t>SAI BALAJI FAST FOOD</t>
  </si>
  <si>
    <t>Sai Balaji Kirana Stores</t>
  </si>
  <si>
    <t>SAI BALAJI SWEETS</t>
  </si>
  <si>
    <t>Sai Balaji Tea Stall</t>
  </si>
  <si>
    <t>SAI BALAJI TRADERS</t>
  </si>
  <si>
    <t>Saidulu Nalgonda</t>
  </si>
  <si>
    <t>SAI FAST FOOD KIRANA</t>
  </si>
  <si>
    <t>Sai Ganesh Kirana</t>
  </si>
  <si>
    <t>Sai Janapriya Tea Stall</t>
  </si>
  <si>
    <t>Sai Kirana</t>
  </si>
  <si>
    <t>Sai Lalitha Super Market</t>
  </si>
  <si>
    <t>Sai Laxmi Kirana</t>
  </si>
  <si>
    <t>Sai Mahalaxmi  Kirana</t>
  </si>
  <si>
    <t>Sai Manikanta Grand</t>
  </si>
  <si>
    <t>Sai Prabhu Kirana</t>
  </si>
  <si>
    <t>Sai Priya Kirana</t>
  </si>
  <si>
    <t>Sai Priya Medicals</t>
  </si>
  <si>
    <t>Sai Ram Bakery</t>
  </si>
  <si>
    <t>Sai Ram Kirana</t>
  </si>
  <si>
    <t>Sai Ram Panshop</t>
  </si>
  <si>
    <t>Sai Ram Tea Point</t>
  </si>
  <si>
    <t>Sai Satish Wholesale</t>
  </si>
  <si>
    <t>Sai Subramanyam Medicals</t>
  </si>
  <si>
    <t>Sai Tea Stall</t>
  </si>
  <si>
    <t>Sai Tribala Medicals</t>
  </si>
  <si>
    <t>SAI UDVITHA ENTERPRISES</t>
  </si>
  <si>
    <t>Salam Kirana</t>
  </si>
  <si>
    <t>Saleem Panshop</t>
  </si>
  <si>
    <t>Saloni Kirana</t>
  </si>
  <si>
    <t>S A Market Wholesale</t>
  </si>
  <si>
    <t>Samosa Stall</t>
  </si>
  <si>
    <t>Sampath Kirana</t>
  </si>
  <si>
    <t>Sampradaya Ruchulu</t>
  </si>
  <si>
    <t>Samruddah Heights</t>
  </si>
  <si>
    <t>Samskruthi Home Foods</t>
  </si>
  <si>
    <t>Samskruthi Hotel Gachibowli</t>
  </si>
  <si>
    <t>Samskruthi Panshop</t>
  </si>
  <si>
    <t>Sandeep Fast Food</t>
  </si>
  <si>
    <t>Sangeetha Kirana</t>
  </si>
  <si>
    <t>Sangeeth TSO</t>
  </si>
  <si>
    <t>Sanghavi Panshop</t>
  </si>
  <si>
    <t>Sankar Pan Mahal</t>
  </si>
  <si>
    <t>Sankar Tiffins</t>
  </si>
  <si>
    <t>Santosh Maggi Center</t>
  </si>
  <si>
    <t>SANTOSH TATA</t>
  </si>
  <si>
    <t>S A Panshop</t>
  </si>
  <si>
    <t>Sardar Sweets</t>
  </si>
  <si>
    <t>S A Tea Point</t>
  </si>
  <si>
    <t>Sathyam Kirana</t>
  </si>
  <si>
    <t>Satya Communication</t>
  </si>
  <si>
    <t>Satya Kirana</t>
  </si>
  <si>
    <t>Satyam Bakery</t>
  </si>
  <si>
    <t>Satyam Panshop</t>
  </si>
  <si>
    <t>Satyanarayana Kirana</t>
  </si>
  <si>
    <t>Satya Sai Kirana</t>
  </si>
  <si>
    <t>S B General Store</t>
  </si>
  <si>
    <t>S B Medicals</t>
  </si>
  <si>
    <t>S Cafe</t>
  </si>
  <si>
    <t>S D Patel Kirana</t>
  </si>
  <si>
    <t>Shaadhi Milk Zone</t>
  </si>
  <si>
    <t>Shaadi Ka Bakery</t>
  </si>
  <si>
    <t>Shaadi Milk Juice</t>
  </si>
  <si>
    <t>Shafi Pan Shop</t>
  </si>
  <si>
    <t>Shahi Pan Mahal</t>
  </si>
  <si>
    <t>Shah Rizwan Hotel</t>
  </si>
  <si>
    <t>Shaloom Milk</t>
  </si>
  <si>
    <t>Shanker Panshop</t>
  </si>
  <si>
    <t>Shanker Villas Tiffins Nd Snacks</t>
  </si>
  <si>
    <t>Shanthi Panmahal</t>
  </si>
  <si>
    <t>Shashi Kirana</t>
  </si>
  <si>
    <t>Shashi Tea Point</t>
  </si>
  <si>
    <t>Shekar Kirana</t>
  </si>
  <si>
    <t>Shirdi Sai Panshop</t>
  </si>
  <si>
    <t>Shiva Balaji Bakery</t>
  </si>
  <si>
    <t>Shiva Basava Kirana</t>
  </si>
  <si>
    <t>Shiva Ganesh Medicals</t>
  </si>
  <si>
    <t>Shiva Kirana Store</t>
  </si>
  <si>
    <t>Shiva Sai Kirana</t>
  </si>
  <si>
    <t>Shiva Satish Kirana</t>
  </si>
  <si>
    <t>Shiva Shree Kirana</t>
  </si>
  <si>
    <t>Shivram Kirana</t>
  </si>
  <si>
    <t>SHRAVANAN VALLABHAM KIRANA</t>
  </si>
  <si>
    <t>Shravan Kirana</t>
  </si>
  <si>
    <t>Shree Kirana</t>
  </si>
  <si>
    <t>Shree Provisional Store</t>
  </si>
  <si>
    <t>Shri Balaji Wholesale</t>
  </si>
  <si>
    <t>Shri Chai</t>
  </si>
  <si>
    <t>Siddartha Bakery</t>
  </si>
  <si>
    <t>Siddeshwara Kirana</t>
  </si>
  <si>
    <t>Siddique Sweets and Bakers</t>
  </si>
  <si>
    <t>Siddi Vinayaka Kirana</t>
  </si>
  <si>
    <t>Sindhu Kirana</t>
  </si>
  <si>
    <t>Sirisha Fast Food</t>
  </si>
  <si>
    <t>Siri Shelters</t>
  </si>
  <si>
    <t>Sitha Kirana</t>
  </si>
  <si>
    <t>SK Asif Panshop</t>
  </si>
  <si>
    <t>Sk Enterprises</t>
  </si>
  <si>
    <t>S K Kirana</t>
  </si>
  <si>
    <t>S K Tea Point</t>
  </si>
  <si>
    <t>S MART</t>
  </si>
  <si>
    <t>Smoke Zone</t>
  </si>
  <si>
    <t>S M Pan Mahal</t>
  </si>
  <si>
    <t>Sneha Disposals Chanda Nagar</t>
  </si>
  <si>
    <t>Snehitha Kirana</t>
  </si>
  <si>
    <t>Snigdha Vilas Tiffins</t>
  </si>
  <si>
    <t>Southern Aroma's</t>
  </si>
  <si>
    <t>SPICE &amp; RICE</t>
  </si>
  <si>
    <t>Spicy Kitchen</t>
  </si>
  <si>
    <t>S P L Groceries</t>
  </si>
  <si>
    <t>Sravan Wholesale</t>
  </si>
  <si>
    <t>Sravan Wholesale Madhapur</t>
  </si>
  <si>
    <t>Sree Eshwara Kirana</t>
  </si>
  <si>
    <t>Sree Krishna Kirana</t>
  </si>
  <si>
    <t>Sree Santosh Dhaba</t>
  </si>
  <si>
    <t>Sri Ambika</t>
  </si>
  <si>
    <t>SRI ANJANEYA COMMUNICATIONS</t>
  </si>
  <si>
    <t>Sri Anjaneya Enterprises</t>
  </si>
  <si>
    <t>Sri Ashwini Medicals</t>
  </si>
  <si>
    <t>Sri Balaji Curry Point</t>
  </si>
  <si>
    <t>Sri Balaji Fast Food</t>
  </si>
  <si>
    <t>Sri Balaji Ganesh Kirana</t>
  </si>
  <si>
    <t>Sri Balaji Kirana</t>
  </si>
  <si>
    <t>Sri Balaji Medicals</t>
  </si>
  <si>
    <t>Sri Balaji Milk Point</t>
  </si>
  <si>
    <t>Sri Balaji Mithai</t>
  </si>
  <si>
    <t>Sri Balaji Nemichand Sweets</t>
  </si>
  <si>
    <t>Sri Balaji Ramlal Wholesale</t>
  </si>
  <si>
    <t>Sri Balaji Ram Sweetshop</t>
  </si>
  <si>
    <t>Sri Balaji Sweet Shop</t>
  </si>
  <si>
    <t>Sri Balaji Tea Stall</t>
  </si>
  <si>
    <t>Sri Bhagavan</t>
  </si>
  <si>
    <t>Sri Bhagwan Medicals</t>
  </si>
  <si>
    <t>Sri Bhavani Kirana</t>
  </si>
  <si>
    <t>Sri Datta Medicals</t>
  </si>
  <si>
    <t>Sri Eshwara Kirana</t>
  </si>
  <si>
    <t>Sri Ganapathi Kirana</t>
  </si>
  <si>
    <t>Sri Ganesh Kirana</t>
  </si>
  <si>
    <t>SRI KANAKA DURGA KIRANA</t>
  </si>
  <si>
    <t>SRIKANTH BIRYANI</t>
  </si>
  <si>
    <t>Sri Krishna Kirana</t>
  </si>
  <si>
    <t>Sri Krishna Medicals</t>
  </si>
  <si>
    <t>Sri Krishna Wholesale NIzampet</t>
  </si>
  <si>
    <t>Sri Lakshmi Fast Food</t>
  </si>
  <si>
    <t>Sri Lakshmi General Stores</t>
  </si>
  <si>
    <t>Sri Lakshmi Swagruha Foods</t>
  </si>
  <si>
    <t>Sri Lakshmi Tulasi Kirana</t>
  </si>
  <si>
    <t>SRILAXMI COOL DRINKS</t>
  </si>
  <si>
    <t>Sri Laxmi Ganapathi Kirana</t>
  </si>
  <si>
    <t>Sri Laxmi Kirana</t>
  </si>
  <si>
    <t>Sri Laxmi Medicals</t>
  </si>
  <si>
    <t>Sri Laxmi Narasimha Enterprises</t>
  </si>
  <si>
    <t>Sri Laxmi Narasimha Food Products</t>
  </si>
  <si>
    <t>SRI LAXMI NARASIMHA SWAMY ENTERPRISES</t>
  </si>
  <si>
    <t>SRI LAXMI NARSIMHA TRADERS</t>
  </si>
  <si>
    <t>Sri Laxmi Tiffins</t>
  </si>
  <si>
    <t>Sri LNV Bakery</t>
  </si>
  <si>
    <t>Sri Mahesh Kirana</t>
  </si>
  <si>
    <t>Sri Mallikarjuna Bakery</t>
  </si>
  <si>
    <t>Sri Manjunath Bakery</t>
  </si>
  <si>
    <t>SRI MARUTHI KIRANA</t>
  </si>
  <si>
    <t>Sri Mathaji Kirana</t>
  </si>
  <si>
    <t>Sri Navayuga Hotel Chandanagar</t>
  </si>
  <si>
    <t>Srinivasa Kirana</t>
  </si>
  <si>
    <t>Srinivasa Milk Booth</t>
  </si>
  <si>
    <t>Srinivasa Tiffin Center</t>
  </si>
  <si>
    <t>Srinivasa Traders</t>
  </si>
  <si>
    <t>Srinivasulu Curry Point</t>
  </si>
  <si>
    <t>Sri Raghavendra Bakery</t>
  </si>
  <si>
    <t>Sri Raghavendra Panshop</t>
  </si>
  <si>
    <t>SRI RAMA KIRANA SHOP</t>
  </si>
  <si>
    <t>Sri Ramdev Kirana</t>
  </si>
  <si>
    <t>Sri Ram Pan Shop</t>
  </si>
  <si>
    <t>SRI SAI BALAJI KIRANA</t>
  </si>
  <si>
    <t>Sri Sai Balaji Sweets</t>
  </si>
  <si>
    <t>SRI SAI KIRANA</t>
  </si>
  <si>
    <t>Sri Sai Medicals Patancheru</t>
  </si>
  <si>
    <t>Sri Sai Milk Point</t>
  </si>
  <si>
    <t>Sri Sai Prabhu Kirana</t>
  </si>
  <si>
    <t>Sri Sai Ram Kirana</t>
  </si>
  <si>
    <t>Sri Sai Stationary</t>
  </si>
  <si>
    <t>Sri Sai Swagruha Foods</t>
  </si>
  <si>
    <t>Sri Sangameshwara Kirana</t>
  </si>
  <si>
    <t>Sri Sathamma Thalli Kirana</t>
  </si>
  <si>
    <t>Sri Satyam Kirana</t>
  </si>
  <si>
    <t>Sri Shirdi Ram Balaji</t>
  </si>
  <si>
    <t>Sri Shirdi Sai Kirana</t>
  </si>
  <si>
    <t>Sri Shiva Ram Balaji Kirana</t>
  </si>
  <si>
    <t>Sri Shivaram Kirana General Stores</t>
  </si>
  <si>
    <t>Sri Shiva Subramanya Medicals</t>
  </si>
  <si>
    <t>Sri Shyam Marketing</t>
  </si>
  <si>
    <t>Sri Siddeshwara Kirana</t>
  </si>
  <si>
    <t>Sri Srinivasa Kirana</t>
  </si>
  <si>
    <t>Sri Swetha Foods</t>
  </si>
  <si>
    <t>Sri Vasavi Kirana</t>
  </si>
  <si>
    <t>Sri Veerabadra Panshop</t>
  </si>
  <si>
    <t>Sri Venkateshwara Grand</t>
  </si>
  <si>
    <t>Sri Venkateshwara Kirana</t>
  </si>
  <si>
    <t>Sri Venkateshwara Sweet House</t>
  </si>
  <si>
    <t>Sri Venkateswara Traders</t>
  </si>
  <si>
    <t>Sri Vyshnavi Restaurent</t>
  </si>
  <si>
    <t>S R Kirana</t>
  </si>
  <si>
    <t>S S ENTERPRISES</t>
  </si>
  <si>
    <t>S S Fast Food</t>
  </si>
  <si>
    <t>S S General Store</t>
  </si>
  <si>
    <t>S S Medical Shop</t>
  </si>
  <si>
    <t>S S N Tea Point</t>
  </si>
  <si>
    <t>SS Panmahal</t>
  </si>
  <si>
    <t>Star Inn Hotel</t>
  </si>
  <si>
    <t>Sujatha Kirana</t>
  </si>
  <si>
    <t>Suleman Panshop</t>
  </si>
  <si>
    <t>Sumeet Foods</t>
  </si>
  <si>
    <t>Sundry Debtors - Bio Products</t>
  </si>
  <si>
    <t>Sunitha Kirana</t>
  </si>
  <si>
    <t>Supercare Pharmacy</t>
  </si>
  <si>
    <t>Super Market</t>
  </si>
  <si>
    <t>Surabhi Kitchen</t>
  </si>
  <si>
    <t>Surya Chandra Kirana</t>
  </si>
  <si>
    <t>SURYA FOOD COURT</t>
  </si>
  <si>
    <t>Suvarna Kirana</t>
  </si>
  <si>
    <t>SV Chaitanya Kirana</t>
  </si>
  <si>
    <t>S V Enterprises</t>
  </si>
  <si>
    <t>S V Kirana</t>
  </si>
  <si>
    <t>S V Medicals</t>
  </si>
  <si>
    <t>Sweet House</t>
  </si>
  <si>
    <t>Swetha Kirana</t>
  </si>
  <si>
    <t>Tag Mag</t>
  </si>
  <si>
    <t>Tag Mag Maddy</t>
  </si>
  <si>
    <t>Tanuja Sri Kirana</t>
  </si>
  <si>
    <t>Tasty Zone</t>
  </si>
  <si>
    <t>Tawakkal Enterprises</t>
  </si>
  <si>
    <t>T Bablu Town</t>
  </si>
  <si>
    <t>Tea 4 You</t>
  </si>
  <si>
    <t>Tea Clock</t>
  </si>
  <si>
    <t>Tea Moments</t>
  </si>
  <si>
    <t>Tea on Time</t>
  </si>
  <si>
    <t>Tea Point</t>
  </si>
  <si>
    <t>Tea Point 2</t>
  </si>
  <si>
    <t>Tea Point 3</t>
  </si>
  <si>
    <t>Tea Shop</t>
  </si>
  <si>
    <t>Tea Stall</t>
  </si>
  <si>
    <t>Tea Street Kettle</t>
  </si>
  <si>
    <t>Tea Talk</t>
  </si>
  <si>
    <t>Tea Time</t>
  </si>
  <si>
    <t>Tea Time Madhapur</t>
  </si>
  <si>
    <t>Tea Time Miyapur</t>
  </si>
  <si>
    <t>Tea Tradition</t>
  </si>
  <si>
    <t>Tech Mahindra</t>
  </si>
  <si>
    <t>Teja Shree Kirana</t>
  </si>
  <si>
    <t>Telangana Kirana</t>
  </si>
  <si>
    <t>Telugu Film Producer Council</t>
  </si>
  <si>
    <t>Thamanna Kirana</t>
  </si>
  <si>
    <t>Thanda Garam</t>
  </si>
  <si>
    <t>Thanisha Wholesales Madhapur</t>
  </si>
  <si>
    <t>The Alley</t>
  </si>
  <si>
    <t>The Food House Kondapur</t>
  </si>
  <si>
    <t>The Friger Co</t>
  </si>
  <si>
    <t>The Little Plaza</t>
  </si>
  <si>
    <t>The Shawarma company</t>
  </si>
  <si>
    <t>The Street Kettle</t>
  </si>
  <si>
    <t>The Tea Treat</t>
  </si>
  <si>
    <t>Thindibothu Curry Point</t>
  </si>
  <si>
    <t>Thirumala Kirana</t>
  </si>
  <si>
    <t>Thirumala Panshop</t>
  </si>
  <si>
    <t>Tiffin Center</t>
  </si>
  <si>
    <t>Time Treat Bakers</t>
  </si>
  <si>
    <t>Tirumula Kirana</t>
  </si>
  <si>
    <t>Treat Lime Bakers</t>
  </si>
  <si>
    <t>Tulasi Kirana Shop</t>
  </si>
  <si>
    <t>Tulasi Sweet Shop</t>
  </si>
  <si>
    <t>Tulja Bhavani Medical and General</t>
  </si>
  <si>
    <t>T Z Kirana</t>
  </si>
  <si>
    <t>U B Unique Biryani</t>
  </si>
  <si>
    <t>Ujwal Kirana</t>
  </si>
  <si>
    <t>Uma Kirana</t>
  </si>
  <si>
    <t>Umer Kirana</t>
  </si>
  <si>
    <t>Umesh Kirana Store</t>
  </si>
  <si>
    <t>UP Rajanna Tea Point</t>
  </si>
  <si>
    <t>Utkarsh Panshop</t>
  </si>
  <si>
    <t>Vaishnavi Enterprises</t>
  </si>
  <si>
    <t>Vaishnavi Kirana</t>
  </si>
  <si>
    <t>Vaishnavi Sweet House</t>
  </si>
  <si>
    <t>Vamshi Kirana</t>
  </si>
  <si>
    <t>Vantillu Tiffins</t>
  </si>
  <si>
    <t>Varahala Raju</t>
  </si>
  <si>
    <t>Varun Enterprises</t>
  </si>
  <si>
    <t>Vasavi Kirana</t>
  </si>
  <si>
    <t>VAYUPUTRA TRADERS</t>
  </si>
  <si>
    <t>Vedasree Traders</t>
  </si>
  <si>
    <t>Veerabhadra Banglore Kirana</t>
  </si>
  <si>
    <t>VEERABHADRA ENTERPRISES</t>
  </si>
  <si>
    <t>VEERABHADRA KIRANA</t>
  </si>
  <si>
    <t>Veera Venkateshwara Kirana</t>
  </si>
  <si>
    <t>Veer Kirana</t>
  </si>
  <si>
    <t>Veer Laxmi Kirana</t>
  </si>
  <si>
    <t>Venkata Ramana Pan Shop</t>
  </si>
  <si>
    <t>Venkata Tiffins</t>
  </si>
  <si>
    <t>Venkateshwara Bakery</t>
  </si>
  <si>
    <t>VENKATESHWARA GRAND  GACHIBOWLI</t>
  </si>
  <si>
    <t>Venkateshwara Kirana</t>
  </si>
  <si>
    <t>Venkateshwara Medicals</t>
  </si>
  <si>
    <t>Venkateshwara Panshop</t>
  </si>
  <si>
    <t>Venkateshwara Store</t>
  </si>
  <si>
    <t>Venkateshwara Sweets</t>
  </si>
  <si>
    <t>Venkateshwara Wholesales Madhapur</t>
  </si>
  <si>
    <t>Venkat Sai Mini Mart</t>
  </si>
  <si>
    <t>Vigneshwara Kirana</t>
  </si>
  <si>
    <t>Vijaya Lakshmi Panshop</t>
  </si>
  <si>
    <t>Vijaya Lakshmi Plastic Wholesale</t>
  </si>
  <si>
    <t>Vijayalaxmi Kirana</t>
  </si>
  <si>
    <t>Vijaya Milk Point</t>
  </si>
  <si>
    <t>Vijayasree Kirana</t>
  </si>
  <si>
    <t>Vijetha Supermarket Pvt Ltd</t>
  </si>
  <si>
    <t>Vinayaka Kirana</t>
  </si>
  <si>
    <t>Vindhu Restaurent</t>
  </si>
  <si>
    <t>Vinod Enterprises</t>
  </si>
  <si>
    <t>Vinod General Store</t>
  </si>
  <si>
    <t>Vishnu Chemicals Ltd</t>
  </si>
  <si>
    <t>Vpr Fast Food</t>
  </si>
  <si>
    <t>V V Kirana</t>
  </si>
  <si>
    <t>Vyshnavi Market</t>
  </si>
  <si>
    <t>Winni Cakes</t>
  </si>
  <si>
    <t>Woodspace Industries</t>
  </si>
  <si>
    <t>Wow Chicha Panshop</t>
  </si>
  <si>
    <t>Yadav Dairy Parlour</t>
  </si>
  <si>
    <t>Yadav Tea Stall</t>
  </si>
  <si>
    <t>yadgiri Milk Point</t>
  </si>
  <si>
    <t>Yag Pan Shop</t>
  </si>
  <si>
    <t>Yaseem Kirana</t>
  </si>
  <si>
    <t>Yellow Chai</t>
  </si>
  <si>
    <t>Yousufain Pan Shop</t>
  </si>
  <si>
    <t>Yummy Panshop</t>
  </si>
  <si>
    <t>Zam Zam Hotel</t>
  </si>
  <si>
    <t>ZAM ZAM TRADERS</t>
  </si>
  <si>
    <t>ZA Panshop</t>
  </si>
  <si>
    <t>Cash</t>
  </si>
  <si>
    <t>Axis Bank - Madhapur</t>
  </si>
  <si>
    <t>Axis Bank - Marredpally</t>
  </si>
  <si>
    <t>CST Sales</t>
  </si>
  <si>
    <t>GST Sales - Trading</t>
  </si>
  <si>
    <t>GST Purchases - Trading</t>
  </si>
  <si>
    <t>PACKING CHARGES</t>
  </si>
  <si>
    <t>LR Charges</t>
  </si>
  <si>
    <t>Manpower Services</t>
  </si>
  <si>
    <t>Technical Testing And Analysis</t>
  </si>
  <si>
    <t>AMC Charges</t>
  </si>
  <si>
    <t>AP POLLUTION CONTROL BOARD</t>
  </si>
  <si>
    <t>Bond Papers</t>
  </si>
  <si>
    <t>Comunication Expenses</t>
  </si>
  <si>
    <t>Consultant Charges</t>
  </si>
  <si>
    <t>Crane</t>
  </si>
  <si>
    <t>Diesel</t>
  </si>
  <si>
    <t>Domestic Travel expenses</t>
  </si>
  <si>
    <t>Firewood for Boiler</t>
  </si>
  <si>
    <t>Formalities</t>
  </si>
  <si>
    <t>Franklin &amp; Notary</t>
  </si>
  <si>
    <t>Generator Expenses</t>
  </si>
  <si>
    <t>Generator Rent</t>
  </si>
  <si>
    <t>Geologist RJY</t>
  </si>
  <si>
    <t>Ground Water Testing</t>
  </si>
  <si>
    <t>HD Pipe Joint Purpose</t>
  </si>
  <si>
    <t>INSURANCE</t>
  </si>
  <si>
    <t>Invoice Rounding</t>
  </si>
  <si>
    <t>Ladder Rent</t>
  </si>
  <si>
    <t>License and Renewal Charges</t>
  </si>
  <si>
    <t>Machine Room Maintenance</t>
  </si>
  <si>
    <t>MINISTRY OF CORPORATE AFFAIR</t>
  </si>
  <si>
    <t>Networth Certificate</t>
  </si>
  <si>
    <t>Office Maintanance</t>
  </si>
  <si>
    <t>Organ Gas Cylinder Advance</t>
  </si>
  <si>
    <t>Paper Add</t>
  </si>
  <si>
    <t>Plumbing Work</t>
  </si>
  <si>
    <t>Rent Azeez Room</t>
  </si>
  <si>
    <t>Round Off</t>
  </si>
  <si>
    <t>Site Plan and Drawings</t>
  </si>
  <si>
    <t>Sitting Fee</t>
  </si>
  <si>
    <t>SPARES</t>
  </si>
  <si>
    <t>Technicians Purpose Rooms and Accommodation</t>
  </si>
  <si>
    <t>Tiles</t>
  </si>
  <si>
    <t>Tiles Cleaning Purpose</t>
  </si>
  <si>
    <t>Transport Charges</t>
  </si>
  <si>
    <t>Travelling Expenses</t>
  </si>
  <si>
    <t>Travelling Food and Accommodation</t>
  </si>
  <si>
    <t>Unloading Charges</t>
  </si>
  <si>
    <t>Valuer Charges</t>
  </si>
  <si>
    <t>Water Curing @RJY</t>
  </si>
  <si>
    <t>Watter Curring @ Janagaon</t>
  </si>
  <si>
    <t>Internet Charges</t>
  </si>
  <si>
    <t>Labour Charges</t>
  </si>
  <si>
    <t>Pooja Expenses</t>
  </si>
  <si>
    <t>Postal &amp; Courier Charges</t>
  </si>
  <si>
    <t>Staff Wefare</t>
  </si>
  <si>
    <t>Input GST</t>
  </si>
  <si>
    <t>Input CGST - 4.5%</t>
  </si>
  <si>
    <t>Input CGST @14%</t>
  </si>
  <si>
    <t>Input SGST - 4.5%</t>
  </si>
  <si>
    <t>Input SGST @14%</t>
  </si>
  <si>
    <t>Output CGST - 2.5%</t>
  </si>
  <si>
    <t>Output CGST - 9%</t>
  </si>
  <si>
    <t>Output IGST - 12%</t>
  </si>
  <si>
    <t>Output IGST - 18%</t>
  </si>
  <si>
    <t>Output IGST @ 18%</t>
  </si>
  <si>
    <t>Output SGST - 2.5%</t>
  </si>
  <si>
    <t>Output SGST - 9%</t>
  </si>
  <si>
    <t>Input CGST - 2.5%</t>
  </si>
  <si>
    <t>Input CGST - 6%</t>
  </si>
  <si>
    <t>Input CGST - 9%</t>
  </si>
  <si>
    <t>Input IGST - 18%</t>
  </si>
  <si>
    <t>Input SGST - 2.5%</t>
  </si>
  <si>
    <t>Input SGST - 6%</t>
  </si>
  <si>
    <t>Input SGST - 9%</t>
  </si>
  <si>
    <t>Output CGST - 6%</t>
  </si>
  <si>
    <t>Output SGST - 6%</t>
  </si>
  <si>
    <t>DABUR INDIA LIMITED</t>
  </si>
  <si>
    <t>GURU RAGHAVENDRA AGENCIES</t>
  </si>
  <si>
    <t>Nouishco Beverages Ltd</t>
  </si>
  <si>
    <t>ACE HYGIENE PRODUCTS PVT LTD</t>
  </si>
  <si>
    <t>A G AGENCIES</t>
  </si>
  <si>
    <t>AKASH INDUSTRIES INC</t>
  </si>
  <si>
    <t>Akshaya Electrical and Sanitary</t>
  </si>
  <si>
    <t>A &amp; M TECHNOLOGIES</t>
  </si>
  <si>
    <t>ANJANI VISHNU ALLIED SERVICES LIMITED</t>
  </si>
  <si>
    <t>ARKA MEDICAL SYSTEM</t>
  </si>
  <si>
    <t>ARTIZ MOBEL (Pvt.) Ltd</t>
  </si>
  <si>
    <t>ASIAN SCIENTIFIC INSTRUMENTS</t>
  </si>
  <si>
    <t>Associated Road Carriers Limited</t>
  </si>
  <si>
    <t>ASSOCIATED ROAD CARRIERS LIMITED-TS</t>
  </si>
  <si>
    <t xml:space="preserve">ATC BIO CHEM_x000D_
</t>
  </si>
  <si>
    <t>ATRIA CONVERGENCE TECHNOLOGIES LTD</t>
  </si>
  <si>
    <t>Bajaj Electronics</t>
  </si>
  <si>
    <t>BHAGWATI LOGISTICS &amp; TRANSPORT SERVICE</t>
  </si>
  <si>
    <t>Bothra Logistics</t>
  </si>
  <si>
    <t>Chicago Pneumatic Compressors</t>
  </si>
  <si>
    <t>CLEAN ZONE CONCEPTS</t>
  </si>
  <si>
    <t>Clearpack Automation Private Limited</t>
  </si>
  <si>
    <t>COMPOSITES SOLUTION</t>
  </si>
  <si>
    <t>CONCEPT PACKAGING INTERNATIONAL PRIVATE LIMITED</t>
  </si>
  <si>
    <t>Crane Rental @RJY</t>
  </si>
  <si>
    <t>CREATIVE POWER SOLUTIONS</t>
  </si>
  <si>
    <t>Devendra Chowdary</t>
  </si>
  <si>
    <t>DOMINO PRINTECH INDIA LLP</t>
  </si>
  <si>
    <t>Durga Cargo Carrier</t>
  </si>
  <si>
    <t>Ecocare Technologies Pvt Ltd</t>
  </si>
  <si>
    <t>ECONOMIC ROADWAYS COMPANY(PROP USHA AGARWAL)</t>
  </si>
  <si>
    <t>Elite Concepts</t>
  </si>
  <si>
    <t>EQUITRON MEDICA PRIVATE LIMITED</t>
  </si>
  <si>
    <t>FOOD SAFETY AND STANDARDS AUTHORITY OF INDIA</t>
  </si>
  <si>
    <t>Forbes Marshall Pvt Ltd</t>
  </si>
  <si>
    <t>GEM CORPOCHEM PRIVATE LIMITED</t>
  </si>
  <si>
    <t>GEM EQUIPMENTS PRIVATE LIMITED</t>
  </si>
  <si>
    <t>G.K.Roadways</t>
  </si>
  <si>
    <t>GLOBAL ENTERPRISES</t>
  </si>
  <si>
    <t>GLOBAL TECHNICS</t>
  </si>
  <si>
    <t>G S Tubes &amp; Valves Inc</t>
  </si>
  <si>
    <t>HACH DHR INDIA PRIVATE LIMITED</t>
  </si>
  <si>
    <t>Harsha Marketing</t>
  </si>
  <si>
    <t>HARSHITHA TRADING COMPANY</t>
  </si>
  <si>
    <t>Hemadri's Tiles N Sanitary</t>
  </si>
  <si>
    <t>Hicon Engineering Co Pvt Ltd</t>
  </si>
  <si>
    <t>Inter Power Gentech</t>
  </si>
  <si>
    <t>Jameel</t>
  </si>
  <si>
    <t>JAY TRANSPORT CO</t>
  </si>
  <si>
    <t>KARUNA TRADING</t>
  </si>
  <si>
    <t>Kitten Enterprises Private Limited</t>
  </si>
  <si>
    <t>KMJ TRANSPORT</t>
  </si>
  <si>
    <t>Kumar Fabtech Services</t>
  </si>
  <si>
    <t>Kunal Global Logistics</t>
  </si>
  <si>
    <t>LCS CONTROLS P LTD</t>
  </si>
  <si>
    <t>Madras Nilgiri Transport</t>
  </si>
  <si>
    <t>MICROBIOLOGY PROTECTION TRAINING AND RESEARCH INSTITUTE</t>
  </si>
  <si>
    <t>Mittal Agencies</t>
  </si>
  <si>
    <t>M. J. INSTRUMENTS</t>
  </si>
  <si>
    <t>M/s. BHAGYALAXMI SS FABRICATIONS</t>
  </si>
  <si>
    <t>M/S INDIAN CASH &amp; CARRY PRIVATE LIMITED</t>
  </si>
  <si>
    <t>M/S SHREE VEERABHADRA ELECTRONICS</t>
  </si>
  <si>
    <t>NILKAMAL LIMITED</t>
  </si>
  <si>
    <t>NORTHERN POWER DISTRIBUTION COMPANY OF TELANGANA LIMITED</t>
  </si>
  <si>
    <t>N S ENTERPRISES</t>
  </si>
  <si>
    <t>ORIENT BUSINESS SERVICES PVT LTD</t>
  </si>
  <si>
    <t>Orion Legal Supplies</t>
  </si>
  <si>
    <t>PLASTO MARKETING AGENCIES</t>
  </si>
  <si>
    <t>Pochi Babu</t>
  </si>
  <si>
    <t>Prakash Enterprises</t>
  </si>
  <si>
    <t>Presto Stantest Pvt. Ltd.</t>
  </si>
  <si>
    <t>RED FOX HOTEL HYDERABAD A UNIT OF LEMON TREE HOTELS LIMITED</t>
  </si>
  <si>
    <t>Riello Power India Private Limited</t>
  </si>
  <si>
    <t>RM Enterprises</t>
  </si>
  <si>
    <t>R R Roadways</t>
  </si>
  <si>
    <t>Samardha Engineers</t>
  </si>
  <si>
    <t>Sartorius Stedim Ind Pvt Ltd</t>
  </si>
  <si>
    <t>Satellite Conveyors Pvt Ltd</t>
  </si>
  <si>
    <t>Satyam Freight Carrier</t>
  </si>
  <si>
    <t xml:space="preserve">SATYAM FREIGHT CARRIER
</t>
  </si>
  <si>
    <t>SEALERS INDIA</t>
  </si>
  <si>
    <t>Shakunth Aqua Products</t>
  </si>
  <si>
    <t>Shankeshwar Metal</t>
  </si>
  <si>
    <t>SHELTON HOSPITALITY PRIVATE LTD</t>
  </si>
  <si>
    <t xml:space="preserve">SHREE VENKATESWARA TRANSPORT SERVICE
</t>
  </si>
  <si>
    <t>SIDDHARATH SALES CORPORATION</t>
  </si>
  <si>
    <t>Siddi Vinayaka Medical Gases</t>
  </si>
  <si>
    <t>Siva Sai Electricals</t>
  </si>
  <si>
    <t>SK Azeez</t>
  </si>
  <si>
    <t>SOWMYA IRON MERCHANT</t>
  </si>
  <si>
    <t>Sree Balaji Oxygen Gases</t>
  </si>
  <si>
    <t>SRI ADVAITH CHEMICALS</t>
  </si>
  <si>
    <t>Sri Balaji Cargo Movers &amp; Logistics</t>
  </si>
  <si>
    <t>Sri Balaji Steel</t>
  </si>
  <si>
    <t>SRI LAKSHMI ELECTRICALS</t>
  </si>
  <si>
    <t>Srinivas Reddy P</t>
  </si>
  <si>
    <t>Sri Thirumala Electricals( Falcon Dealer)</t>
  </si>
  <si>
    <t>SRR AQUA SYSTEMS</t>
  </si>
  <si>
    <t>S S Chemicals</t>
  </si>
  <si>
    <t>SSR Comp Tec</t>
  </si>
  <si>
    <t>S S S Structures</t>
  </si>
  <si>
    <t>Suresh RJY Incharge</t>
  </si>
  <si>
    <t>Suresh Thota</t>
  </si>
  <si>
    <t>SYSTRONICS INDIA LTD DIVISIONS SYSTRONICS &amp; TELERAD</t>
  </si>
  <si>
    <t>Tauren Pac</t>
  </si>
  <si>
    <t>TCI EXPRESS LTD</t>
  </si>
  <si>
    <t>TCI FREIGHT (A DIVISION OF TRANSPORT CORP. OF INDIA LIMITED)</t>
  </si>
  <si>
    <t>TEXCARE INSTRUMENTS</t>
  </si>
  <si>
    <t>THE MITHRA AGENCIES</t>
  </si>
  <si>
    <t>THE NEW INDIA ASSURANCE CO LIMITED</t>
  </si>
  <si>
    <t>The Panchi Chemicals</t>
  </si>
  <si>
    <t>Transport Corporation of India</t>
  </si>
  <si>
    <t>Tula Engineering Pvt Ltd</t>
  </si>
  <si>
    <t>T V Narayana Engineerining Works</t>
  </si>
  <si>
    <t xml:space="preserve">Unipack Machines Private Limited_x000D_
</t>
  </si>
  <si>
    <t>UNIQUE ENTERPRISES</t>
  </si>
  <si>
    <t>UNIVERSAL MULTI SERVICES</t>
  </si>
  <si>
    <t>Valluri Lakshmi - Transport</t>
  </si>
  <si>
    <t>V Durga Prasad Transporter</t>
  </si>
  <si>
    <t>Vertux Venture</t>
  </si>
  <si>
    <t>VIJAYA SARADHI STEELS</t>
  </si>
  <si>
    <t>Vimta Labs</t>
  </si>
  <si>
    <t>VIPUL AGENCIES</t>
  </si>
  <si>
    <t>VRL Logistics Ltd</t>
  </si>
  <si>
    <t>VVRR ELECTRICALS</t>
  </si>
  <si>
    <t>Wahal Process Technologies Pvt Ltd</t>
  </si>
  <si>
    <t>Yadagiri</t>
  </si>
  <si>
    <t>Yamini Engineering Works</t>
  </si>
  <si>
    <t>Yogalaxmi Transporter</t>
  </si>
  <si>
    <t>Atago India Instruments Pvt Ltd</t>
  </si>
  <si>
    <t>ECOKRIN HYGIENE PVT LTD</t>
  </si>
  <si>
    <t>Gayathri Earth Movers</t>
  </si>
  <si>
    <t>Geetham Cargo</t>
  </si>
  <si>
    <t>GEM ORION MACHINERY PVT LTD</t>
  </si>
  <si>
    <t>HRS Process Systems Limited</t>
  </si>
  <si>
    <t>Ishwari Pet Technology</t>
  </si>
  <si>
    <t>Repute Engineers Pvt Ltd</t>
  </si>
  <si>
    <t>Revolve Engineers</t>
  </si>
  <si>
    <t>SAFEXPRESS PRIVATE LIMITED</t>
  </si>
  <si>
    <t>Sai Anjaneya Traders</t>
  </si>
  <si>
    <t>SOLUSIA ENGINEERS</t>
  </si>
  <si>
    <t>SP ENGINEERS</t>
  </si>
  <si>
    <t>Thermax Limited</t>
  </si>
  <si>
    <t>UDI International</t>
  </si>
  <si>
    <t>Salary Payable - Govindu</t>
  </si>
  <si>
    <t>Salary Payable - Swati CS</t>
  </si>
  <si>
    <t>Salary Payable - Vivek Surana CS</t>
  </si>
  <si>
    <t>Land Conversation Charges</t>
  </si>
  <si>
    <t>Land Registration Charges</t>
  </si>
  <si>
    <t>Varun Chaparla - Land Owner Annadevarapet</t>
  </si>
  <si>
    <t>TELUGU FILM CHAMBER OF COMMERCE</t>
  </si>
  <si>
    <t>Bank Charges</t>
  </si>
  <si>
    <t>Interest on GST</t>
  </si>
  <si>
    <t>Pasura Crop Care Limited - HO</t>
  </si>
  <si>
    <t>Pasura Crop Care Private Limited - Hyd</t>
  </si>
  <si>
    <t>Pasura Crop Care Pvt Ltd - VJA</t>
  </si>
  <si>
    <t>Loan From Axia Bank</t>
  </si>
  <si>
    <t>Assets as on 30-09-2022</t>
  </si>
  <si>
    <t>Factory Building - 9.5%</t>
  </si>
  <si>
    <t>Plant and Machinery-18.10%</t>
  </si>
  <si>
    <t>Electrical Tranformers- 40%</t>
  </si>
  <si>
    <t>Closing Balance as on 30-01-23</t>
  </si>
  <si>
    <t>Dep Cal</t>
  </si>
  <si>
    <t>TS</t>
  </si>
  <si>
    <t>AP</t>
  </si>
  <si>
    <t>COMBIND</t>
  </si>
  <si>
    <t>OB</t>
  </si>
  <si>
    <t>CB</t>
  </si>
  <si>
    <t>Ad - Space</t>
  </si>
  <si>
    <t>Venture Capital</t>
  </si>
  <si>
    <t>AARATHI CONSULTANTS PVT LTD</t>
  </si>
  <si>
    <t>Kranti Road Transport Pvt Ltd</t>
  </si>
  <si>
    <t>S V Achary &amp; Co.,</t>
  </si>
  <si>
    <t>Hep - Logix Carriers</t>
  </si>
  <si>
    <t>Asset Intigrated Info Sytems</t>
  </si>
  <si>
    <t>Pasura Crop Care Private Limited - KA</t>
  </si>
  <si>
    <t>Pasura Crop Care Pvt Ltd - NLR</t>
  </si>
  <si>
    <t>Doctor's Crop Care Limited</t>
  </si>
  <si>
    <t>POOJA ELECTRICAL&amp;SANITARY</t>
  </si>
  <si>
    <t>S Sarveswar Reddy</t>
  </si>
  <si>
    <t>BSE Limited</t>
  </si>
  <si>
    <t>Geosafe Carriers</t>
  </si>
  <si>
    <t>Coromandel International Limited - TS</t>
  </si>
  <si>
    <t>Suspense</t>
  </si>
  <si>
    <t>Coromandel International Limited - KA</t>
  </si>
  <si>
    <t>Coromandel International Limited - AP</t>
  </si>
  <si>
    <t>Coromandal Agri Sciences Pvt Ltd</t>
  </si>
  <si>
    <t>6th floor, 604B, Jain sadguru capital park,</t>
  </si>
  <si>
    <t>beside image gardens,_x000D_
Madhapur, Hyderabad,</t>
  </si>
  <si>
    <t>Rangareddy, Telangana, 500081</t>
  </si>
  <si>
    <t>CIN: L01400TG1986PLC062463</t>
  </si>
  <si>
    <t>Arunjyoti Bio Ventures Limited - (from 1-Apr-2018)</t>
  </si>
  <si>
    <t>Profit and Loss Reservs</t>
  </si>
  <si>
    <t>Input IGST @ 12%</t>
  </si>
  <si>
    <t>TDS Payable - Contract</t>
  </si>
  <si>
    <t>TDS Payable - Professional</t>
  </si>
  <si>
    <t>Control Account</t>
  </si>
  <si>
    <t>Central Depository</t>
  </si>
  <si>
    <t>NSDL</t>
  </si>
  <si>
    <t>Telephone Expense &amp; Postage</t>
  </si>
  <si>
    <t>Murthy sir</t>
  </si>
  <si>
    <t>cash</t>
  </si>
  <si>
    <t>TDS</t>
  </si>
  <si>
    <t>Bill</t>
  </si>
  <si>
    <t xml:space="preserve">Audit fee </t>
  </si>
  <si>
    <t>Indirect income</t>
  </si>
  <si>
    <t>Business axualary income</t>
  </si>
  <si>
    <t>Other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</si>
</sst>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43" formatCode="_ * #,##0.00_ ;_ * \-#,##0.00_ ;_ * &quot;-&quot;??_ ;_ @_ "/>
    <numFmt numFmtId="164" formatCode="_(* #,##0_);_(* \(#,##0\);_(* &quot;-&quot;_);_(@_)"/>
    <numFmt numFmtId="165" formatCode="_(* #,##0.00_);_(* \(#,##0.00\);_(* &quot;-&quot;??_);_(@_)"/>
    <numFmt numFmtId="166" formatCode="_(* #,##0_);_(* \(#,##0\);_(* &quot;-&quot;??_);_(@_)"/>
    <numFmt numFmtId="167" formatCode="0.0%"/>
    <numFmt numFmtId="168" formatCode="_ * #,##0_ ;_ * \-#,##0_ ;_ * &quot;-&quot;??_ ;_ @_ "/>
    <numFmt numFmtId="169" formatCode="_ * #,##0.0_ ;_ * \-#,##0.0_ ;_ * &quot;-&quot;??_ ;_ @_ "/>
    <numFmt numFmtId="170" formatCode="0.0"/>
    <numFmt numFmtId="171" formatCode="_(* #,##0.00_);_(* \(#,##0.00\);_(* &quot;-&quot;_);_(@_)"/>
    <numFmt numFmtId="172" formatCode="#,##0;[Red]#,##0"/>
    <numFmt numFmtId="173" formatCode="_(* #,##0.0_);_(* \(#,##0.0\);_(* &quot;-&quot;??_);_(@_)"/>
    <numFmt numFmtId="174" formatCode="_(* #,##0.00000_);_(* \(#,##0.00000\);_(* &quot;-&quot;??_);_(@_)"/>
    <numFmt numFmtId="175" formatCode="[$-409]mmmm\ d\,\ yyyy;@"/>
    <numFmt numFmtId="176" formatCode="#,##0.000;[Red]\(#,##0.000\)"/>
    <numFmt numFmtId="177" formatCode="0_)"/>
    <numFmt numFmtId="178" formatCode="0.000%"/>
    <numFmt numFmtId="179" formatCode="[$-409]d\ mmmm\ yyyy;@"/>
    <numFmt numFmtId="180" formatCode="_-* #,##0_-;\-* #,##0_-;_-* &quot;-&quot;??_-;_-@_-"/>
    <numFmt numFmtId="181" formatCode="0.000"/>
    <numFmt numFmtId="182" formatCode="&quot;&quot;0"/>
    <numFmt numFmtId="183" formatCode="&quot;&quot;0.00"/>
    <numFmt numFmtId="184" formatCode="&quot;&quot;0.00&quot; Dr&quot;"/>
    <numFmt numFmtId="185" formatCode="&quot;&quot;0.00&quot; Cr&quot;"/>
    <numFmt numFmtId="186" formatCode="0.0000000000"/>
    <numFmt numFmtId="187" formatCode="&quot;+&quot;0.00&quot; Dr&quot;"/>
  </numFmts>
  <fonts count="6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Calibri"/>
      <family val="2"/>
      <scheme val="minor"/>
    </font>
    <font>
      <b/>
      <sz val="11"/>
      <name val="Calibri"/>
      <family val="2"/>
      <scheme val="minor"/>
    </font>
    <font>
      <sz val="11"/>
      <name val="Book Antiqua"/>
      <family val="1"/>
    </font>
    <font>
      <b/>
      <sz val="11"/>
      <name val="Book Antiqua"/>
      <family val="1"/>
    </font>
    <font>
      <sz val="12"/>
      <name val="Book Antiqua"/>
      <family val="1"/>
    </font>
    <font>
      <b/>
      <sz val="12"/>
      <name val="Book Antiqua"/>
      <family val="1"/>
    </font>
    <font>
      <b/>
      <sz val="12"/>
      <color indexed="10"/>
      <name val="Book Antiqua"/>
      <family val="1"/>
    </font>
    <font>
      <sz val="11"/>
      <color indexed="8"/>
      <name val="Calibri"/>
      <family val="2"/>
    </font>
    <font>
      <b/>
      <sz val="11"/>
      <color theme="1"/>
      <name val="Book Antiqua"/>
      <family val="1"/>
    </font>
    <font>
      <sz val="11"/>
      <color theme="1"/>
      <name val="Book Antiqua"/>
      <family val="1"/>
    </font>
    <font>
      <sz val="11"/>
      <color indexed="8"/>
      <name val="Book Antiqua"/>
      <family val="1"/>
    </font>
    <font>
      <sz val="10"/>
      <color rgb="FF222222"/>
      <name val="Arial"/>
      <family val="2"/>
    </font>
    <font>
      <b/>
      <sz val="10"/>
      <name val="Arial"/>
      <family val="2"/>
    </font>
    <font>
      <sz val="11"/>
      <color rgb="FFFF0000"/>
      <name val="Calibri"/>
      <family val="2"/>
      <scheme val="minor"/>
    </font>
    <font>
      <b/>
      <sz val="12"/>
      <name val="Tahoma"/>
      <family val="2"/>
    </font>
    <font>
      <sz val="10"/>
      <name val="Tahoma"/>
      <family val="2"/>
    </font>
    <font>
      <i/>
      <sz val="10"/>
      <name val="Tahoma"/>
      <family val="2"/>
    </font>
    <font>
      <b/>
      <sz val="10"/>
      <name val="Tahoma"/>
      <family val="2"/>
    </font>
    <font>
      <sz val="10"/>
      <color theme="1"/>
      <name val="Arial"/>
      <family val="2"/>
    </font>
    <font>
      <sz val="11"/>
      <color theme="0"/>
      <name val="Calibri"/>
      <family val="2"/>
      <scheme val="minor"/>
    </font>
    <font>
      <b/>
      <sz val="12"/>
      <color theme="1"/>
      <name val="Bookman Old Style"/>
      <family val="1"/>
    </font>
    <font>
      <sz val="12"/>
      <color theme="1"/>
      <name val="Bookman Old Style"/>
      <family val="1"/>
    </font>
    <font>
      <b/>
      <sz val="12"/>
      <name val="Bookman Old Style"/>
      <family val="1"/>
    </font>
    <font>
      <sz val="12"/>
      <name val="Bookman Old Style"/>
      <family val="1"/>
    </font>
    <font>
      <sz val="12"/>
      <color indexed="8"/>
      <name val="Bookman Old Style"/>
      <family val="1"/>
    </font>
    <font>
      <sz val="12"/>
      <color rgb="FFFF0000"/>
      <name val="Bookman Old Style"/>
      <family val="1"/>
    </font>
    <font>
      <b/>
      <sz val="12"/>
      <color rgb="FFFF0000"/>
      <name val="Bookman Old Style"/>
      <family val="1"/>
    </font>
    <font>
      <b/>
      <sz val="12"/>
      <color indexed="8"/>
      <name val="Bookman Old Style"/>
      <family val="1"/>
    </font>
    <font>
      <sz val="10"/>
      <name val="Courier"/>
      <family val="3"/>
    </font>
    <font>
      <b/>
      <u/>
      <sz val="12"/>
      <name val="Bookman Old Style"/>
      <family val="1"/>
    </font>
    <font>
      <u/>
      <sz val="12"/>
      <name val="Bookman Old Style"/>
      <family val="1"/>
    </font>
    <font>
      <sz val="12"/>
      <color indexed="10"/>
      <name val="Bookman Old Style"/>
      <family val="1"/>
    </font>
    <font>
      <sz val="10"/>
      <color theme="1"/>
      <name val="Bookman Old Style"/>
      <family val="1"/>
    </font>
    <font>
      <b/>
      <sz val="11"/>
      <color theme="1"/>
      <name val="Bookman Old Style"/>
      <family val="1"/>
    </font>
    <font>
      <sz val="11"/>
      <color theme="1"/>
      <name val="Bookman Old Style"/>
      <family val="1"/>
    </font>
    <font>
      <sz val="11"/>
      <name val="Bookman Old Style"/>
      <family val="1"/>
    </font>
    <font>
      <b/>
      <sz val="11"/>
      <name val="Bookman Old Style"/>
      <family val="1"/>
    </font>
    <font>
      <sz val="11"/>
      <color indexed="8"/>
      <name val="Bookman Old Style"/>
      <family val="1"/>
    </font>
    <font>
      <sz val="11"/>
      <color rgb="FFFF0000"/>
      <name val="Bookman Old Style"/>
      <family val="1"/>
    </font>
    <font>
      <u/>
      <sz val="11"/>
      <color theme="1"/>
      <name val="Bookman Old Style"/>
      <family val="1"/>
    </font>
    <font>
      <u/>
      <sz val="12"/>
      <color theme="1"/>
      <name val="Bookman Old Style"/>
      <family val="1"/>
    </font>
    <font>
      <sz val="13"/>
      <color theme="1"/>
      <name val="Bookman Old Style"/>
      <family val="1"/>
    </font>
    <font>
      <sz val="4"/>
      <color theme="1"/>
      <name val="Bookman Old Style"/>
      <family val="1"/>
    </font>
    <font>
      <b/>
      <sz val="7"/>
      <color theme="1"/>
      <name val="Bookman Old Style"/>
      <family val="1"/>
    </font>
    <font>
      <b/>
      <u/>
      <sz val="11"/>
      <color theme="1"/>
      <name val="Bookman Old Style"/>
      <family val="1"/>
    </font>
    <font>
      <b/>
      <sz val="11"/>
      <color indexed="8"/>
      <name val="Bookman Old Style"/>
      <family val="1"/>
    </font>
    <font>
      <b/>
      <u/>
      <sz val="11"/>
      <color indexed="8"/>
      <name val="Bookman Old Style"/>
      <family val="1"/>
    </font>
    <font>
      <b/>
      <sz val="11"/>
      <color rgb="FFFF0000"/>
      <name val="Bookman Old Style"/>
      <family val="1"/>
    </font>
    <font>
      <b/>
      <u/>
      <sz val="12"/>
      <color theme="1"/>
      <name val="Bookman Old Style"/>
      <family val="1"/>
    </font>
    <font>
      <b/>
      <u/>
      <sz val="11"/>
      <name val="Bookman Old Style"/>
      <family val="1"/>
    </font>
    <font>
      <i/>
      <sz val="12"/>
      <color theme="1"/>
      <name val="Bookman Old Style"/>
      <family val="1"/>
    </font>
    <font>
      <b/>
      <sz val="11"/>
      <name val="Trebuchet MS"/>
      <family val="2"/>
    </font>
    <font>
      <sz val="11"/>
      <name val="Cambria"/>
      <family val="1"/>
    </font>
    <font>
      <b/>
      <sz val="9"/>
      <color theme="1"/>
      <name val="Arial"/>
      <family val="2"/>
    </font>
    <font>
      <b/>
      <i/>
      <sz val="9"/>
      <color theme="1"/>
      <name val="Arial"/>
      <family val="2"/>
    </font>
    <font>
      <sz val="9"/>
      <color theme="1"/>
      <name val="Arial"/>
      <family val="2"/>
    </font>
    <font>
      <i/>
      <sz val="9"/>
      <color theme="1"/>
      <name val="Arial"/>
      <family val="2"/>
    </font>
    <font>
      <b/>
      <sz val="12"/>
      <color theme="1"/>
      <name val="Arial"/>
      <family val="2"/>
    </font>
    <font>
      <b/>
      <u/>
      <sz val="10.5"/>
      <name val="Century Schoolbook"/>
      <family val="1"/>
    </font>
    <font>
      <sz val="10.5"/>
      <name val="Century Schoolbook"/>
      <family val="1"/>
    </font>
    <font>
      <b/>
      <sz val="10.5"/>
      <name val="Century Schoolbook"/>
      <family val="1"/>
    </font>
    <font>
      <b/>
      <sz val="10.5"/>
      <color rgb="FFFF0000"/>
      <name val="Century Schoolbook"/>
      <family val="1"/>
    </font>
    <font>
      <b/>
      <sz val="11"/>
      <name val="Cambria"/>
      <family val="1"/>
    </font>
    <font>
      <sz val="7"/>
      <color rgb="FF1D1D1C"/>
      <name val="Segoe UI"/>
      <family val="2"/>
    </font>
  </fonts>
  <fills count="9">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00B050"/>
        <bgColor indexed="64"/>
      </patternFill>
    </fill>
    <fill>
      <patternFill patternType="solid">
        <fgColor rgb="FFFFC000"/>
        <bgColor indexed="64"/>
      </patternFill>
    </fill>
    <fill>
      <patternFill patternType="solid">
        <fgColor indexed="9"/>
        <bgColor indexed="64"/>
      </patternFill>
    </fill>
  </fills>
  <borders count="8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thin">
        <color indexed="64"/>
      </right>
      <top style="thin">
        <color auto="1"/>
      </top>
      <bottom style="hair">
        <color auto="1"/>
      </bottom>
      <diagonal/>
    </border>
    <border>
      <left style="thin">
        <color auto="1"/>
      </left>
      <right style="thin">
        <color indexed="64"/>
      </right>
      <top style="hair">
        <color auto="1"/>
      </top>
      <bottom style="hair">
        <color auto="1"/>
      </bottom>
      <diagonal/>
    </border>
    <border>
      <left style="thin">
        <color auto="1"/>
      </left>
      <right style="thin">
        <color indexed="64"/>
      </right>
      <top style="hair">
        <color auto="1"/>
      </top>
      <bottom style="thin">
        <color auto="1"/>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bottom style="double">
        <color indexed="64"/>
      </bottom>
      <diagonal/>
    </border>
    <border>
      <left/>
      <right/>
      <top style="thin">
        <color indexed="64"/>
      </top>
      <bottom style="double">
        <color indexed="64"/>
      </bottom>
      <diagonal/>
    </border>
    <border>
      <left/>
      <right style="thin">
        <color auto="1"/>
      </right>
      <top/>
      <bottom style="hair">
        <color auto="1"/>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double">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medium">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s>
  <cellStyleXfs count="41">
    <xf numFmtId="0" fontId="0" fillId="0" borderId="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0" fontId="3" fillId="0" borderId="9" applyFont="0" applyFill="0" applyBorder="0" applyProtection="0">
      <alignment horizontal="center"/>
      <protection locked="0"/>
    </xf>
    <xf numFmtId="0" fontId="11" fillId="0" borderId="0"/>
    <xf numFmtId="165" fontId="11" fillId="0" borderId="0" applyFont="0" applyFill="0" applyBorder="0" applyAlignment="0" applyProtection="0"/>
    <xf numFmtId="0" fontId="3" fillId="0" borderId="0"/>
    <xf numFmtId="165" fontId="11" fillId="0" borderId="0" applyFont="0" applyFill="0" applyBorder="0" applyAlignment="0" applyProtection="0"/>
    <xf numFmtId="165" fontId="11" fillId="0" borderId="0" applyFont="0" applyFill="0" applyBorder="0" applyAlignment="0" applyProtection="0"/>
    <xf numFmtId="0" fontId="1" fillId="0" borderId="0"/>
    <xf numFmtId="167" fontId="11" fillId="0" borderId="0" applyFont="0" applyFill="0" applyBorder="0" applyAlignment="0" applyProtection="0"/>
    <xf numFmtId="165" fontId="3" fillId="0" borderId="0" applyFont="0" applyFill="0" applyBorder="0" applyAlignment="0" applyProtection="0"/>
    <xf numFmtId="0" fontId="3" fillId="0" borderId="0"/>
    <xf numFmtId="165" fontId="11" fillId="0" borderId="0" applyFont="0" applyFill="0" applyBorder="0" applyAlignment="0" applyProtection="0"/>
    <xf numFmtId="167" fontId="11" fillId="0" borderId="0" applyFont="0" applyFill="0" applyBorder="0" applyAlignment="0" applyProtection="0"/>
    <xf numFmtId="167" fontId="1" fillId="0" borderId="0" applyFont="0" applyFill="0" applyBorder="0" applyAlignment="0" applyProtection="0"/>
    <xf numFmtId="0" fontId="1" fillId="0" borderId="0"/>
    <xf numFmtId="165" fontId="3" fillId="0" borderId="0" applyFont="0" applyFill="0" applyBorder="0" applyAlignment="0" applyProtection="0"/>
    <xf numFmtId="0" fontId="1" fillId="0" borderId="0"/>
    <xf numFmtId="0" fontId="3" fillId="0" borderId="0"/>
    <xf numFmtId="0" fontId="11" fillId="0" borderId="0"/>
    <xf numFmtId="0" fontId="1" fillId="0" borderId="0"/>
    <xf numFmtId="167" fontId="1" fillId="0" borderId="0" applyFont="0" applyFill="0" applyBorder="0" applyAlignment="0" applyProtection="0"/>
    <xf numFmtId="165" fontId="3" fillId="0" borderId="0" applyFont="0" applyFill="0" applyBorder="0" applyAlignment="0" applyProtection="0"/>
    <xf numFmtId="0" fontId="1" fillId="0" borderId="0"/>
    <xf numFmtId="167" fontId="1" fillId="0" borderId="0" applyFont="0" applyFill="0" applyBorder="0" applyAlignment="0" applyProtection="0"/>
    <xf numFmtId="0" fontId="3" fillId="0" borderId="0"/>
    <xf numFmtId="0" fontId="1" fillId="0" borderId="0"/>
    <xf numFmtId="0" fontId="3" fillId="0" borderId="0"/>
    <xf numFmtId="176" fontId="3" fillId="0" borderId="0" applyFont="0" applyFill="0" applyBorder="0" applyAlignment="0" applyProtection="0"/>
    <xf numFmtId="177" fontId="32" fillId="0" borderId="0"/>
    <xf numFmtId="9" fontId="1" fillId="0" borderId="0" applyFont="0" applyFill="0" applyBorder="0" applyAlignment="0" applyProtection="0"/>
    <xf numFmtId="0" fontId="3" fillId="0" borderId="0"/>
    <xf numFmtId="0" fontId="1" fillId="0" borderId="0"/>
    <xf numFmtId="165" fontId="1" fillId="0" borderId="0" applyFont="0" applyFill="0" applyBorder="0" applyAlignment="0" applyProtection="0"/>
    <xf numFmtId="165" fontId="3" fillId="0" borderId="0" applyFont="0" applyFill="0" applyBorder="0" applyAlignment="0" applyProtection="0"/>
    <xf numFmtId="0" fontId="3" fillId="0" borderId="0" applyNumberFormat="0" applyFill="0" applyBorder="0" applyAlignment="0" applyProtection="0"/>
    <xf numFmtId="0" fontId="3" fillId="0" borderId="0"/>
    <xf numFmtId="165" fontId="3" fillId="0" borderId="0" applyFont="0" applyFill="0" applyBorder="0" applyAlignment="0" applyProtection="0"/>
    <xf numFmtId="0" fontId="3" fillId="0" borderId="0"/>
  </cellStyleXfs>
  <cellXfs count="2136">
    <xf numFmtId="0" fontId="0" fillId="0" borderId="0" xfId="0"/>
    <xf numFmtId="0" fontId="2" fillId="0" borderId="0" xfId="0" applyFont="1"/>
    <xf numFmtId="0" fontId="4" fillId="0" borderId="0" xfId="0" applyFont="1"/>
    <xf numFmtId="0" fontId="5" fillId="0" borderId="5" xfId="0" applyFont="1" applyBorder="1"/>
    <xf numFmtId="0" fontId="4" fillId="0" borderId="5" xfId="0" applyFont="1" applyBorder="1"/>
    <xf numFmtId="0" fontId="4" fillId="0" borderId="13" xfId="0" applyFont="1" applyBorder="1"/>
    <xf numFmtId="0" fontId="4" fillId="0" borderId="14" xfId="0" applyFont="1" applyBorder="1"/>
    <xf numFmtId="0" fontId="4" fillId="0" borderId="20" xfId="0" applyFont="1" applyBorder="1"/>
    <xf numFmtId="3" fontId="4" fillId="0" borderId="0" xfId="0" applyNumberFormat="1" applyFont="1"/>
    <xf numFmtId="3" fontId="4" fillId="3" borderId="0" xfId="0" applyNumberFormat="1" applyFont="1" applyFill="1"/>
    <xf numFmtId="0" fontId="4" fillId="3" borderId="14" xfId="0" applyFont="1" applyFill="1" applyBorder="1"/>
    <xf numFmtId="0" fontId="4" fillId="2" borderId="0" xfId="0" applyFont="1" applyFill="1"/>
    <xf numFmtId="0" fontId="4" fillId="4" borderId="14" xfId="0" applyFont="1" applyFill="1" applyBorder="1"/>
    <xf numFmtId="0" fontId="4" fillId="0" borderId="15" xfId="0" applyFont="1" applyBorder="1"/>
    <xf numFmtId="166" fontId="4" fillId="0" borderId="0" xfId="1" applyNumberFormat="1" applyFont="1"/>
    <xf numFmtId="166" fontId="4" fillId="0" borderId="12" xfId="1" applyNumberFormat="1" applyFont="1" applyBorder="1"/>
    <xf numFmtId="166" fontId="4" fillId="0" borderId="9" xfId="1" applyNumberFormat="1" applyFont="1" applyBorder="1"/>
    <xf numFmtId="166" fontId="4" fillId="0" borderId="7" xfId="1" applyNumberFormat="1" applyFont="1" applyBorder="1"/>
    <xf numFmtId="166" fontId="4" fillId="0" borderId="20" xfId="1" applyNumberFormat="1" applyFont="1" applyFill="1" applyBorder="1"/>
    <xf numFmtId="166" fontId="4" fillId="0" borderId="17" xfId="1" applyNumberFormat="1" applyFont="1" applyFill="1" applyBorder="1"/>
    <xf numFmtId="166" fontId="4" fillId="0" borderId="0" xfId="1" applyNumberFormat="1" applyFont="1" applyFill="1"/>
    <xf numFmtId="166" fontId="4" fillId="0" borderId="21" xfId="1" applyNumberFormat="1" applyFont="1" applyFill="1" applyBorder="1"/>
    <xf numFmtId="166" fontId="4" fillId="0" borderId="18" xfId="1" applyNumberFormat="1" applyFont="1" applyFill="1" applyBorder="1"/>
    <xf numFmtId="0" fontId="8" fillId="0" borderId="0" xfId="0" applyFont="1"/>
    <xf numFmtId="0" fontId="9" fillId="0" borderId="0" xfId="0" applyFont="1"/>
    <xf numFmtId="165" fontId="9" fillId="0" borderId="24" xfId="1" applyFont="1" applyBorder="1" applyAlignment="1">
      <alignment horizontal="center"/>
    </xf>
    <xf numFmtId="165" fontId="9" fillId="0" borderId="2" xfId="1" applyFont="1" applyBorder="1" applyAlignment="1">
      <alignment horizontal="center"/>
    </xf>
    <xf numFmtId="0" fontId="9" fillId="0" borderId="11" xfId="0" applyFont="1" applyBorder="1" applyAlignment="1">
      <alignment horizontal="center"/>
    </xf>
    <xf numFmtId="0" fontId="9" fillId="0" borderId="9" xfId="0" applyFont="1" applyBorder="1" applyAlignment="1">
      <alignment horizontal="center"/>
    </xf>
    <xf numFmtId="165" fontId="9" fillId="0" borderId="13" xfId="1" applyFont="1" applyBorder="1" applyAlignment="1"/>
    <xf numFmtId="165" fontId="9" fillId="0" borderId="16" xfId="1" applyFont="1" applyBorder="1" applyAlignment="1"/>
    <xf numFmtId="4" fontId="9" fillId="0" borderId="19" xfId="1" applyNumberFormat="1" applyFont="1" applyBorder="1" applyAlignment="1">
      <alignment horizontal="center"/>
    </xf>
    <xf numFmtId="0" fontId="9" fillId="0" borderId="4" xfId="0" applyFont="1" applyBorder="1" applyAlignment="1">
      <alignment horizontal="center"/>
    </xf>
    <xf numFmtId="165" fontId="9" fillId="0" borderId="14" xfId="1" applyFont="1" applyBorder="1" applyAlignment="1"/>
    <xf numFmtId="165" fontId="9" fillId="0" borderId="17" xfId="1" applyFont="1" applyBorder="1" applyAlignment="1"/>
    <xf numFmtId="4" fontId="9" fillId="0" borderId="20" xfId="1" applyNumberFormat="1" applyFont="1" applyBorder="1" applyAlignment="1">
      <alignment horizontal="right"/>
    </xf>
    <xf numFmtId="0" fontId="8" fillId="0" borderId="20" xfId="0" applyFont="1" applyBorder="1"/>
    <xf numFmtId="165" fontId="8" fillId="0" borderId="14" xfId="1" applyFont="1" applyBorder="1" applyAlignment="1">
      <alignment horizontal="left" indent="1"/>
    </xf>
    <xf numFmtId="165" fontId="8" fillId="0" borderId="17" xfId="1" applyFont="1" applyBorder="1" applyAlignment="1">
      <alignment horizontal="left" indent="1"/>
    </xf>
    <xf numFmtId="166" fontId="8" fillId="0" borderId="20" xfId="1" applyNumberFormat="1" applyFont="1" applyFill="1" applyBorder="1" applyAlignment="1">
      <alignment horizontal="right"/>
    </xf>
    <xf numFmtId="166" fontId="8" fillId="0" borderId="20" xfId="1" applyNumberFormat="1" applyFont="1" applyBorder="1" applyAlignment="1">
      <alignment horizontal="right"/>
    </xf>
    <xf numFmtId="165" fontId="8" fillId="0" borderId="14" xfId="1" applyFont="1" applyBorder="1" applyAlignment="1">
      <alignment horizontal="left" indent="2"/>
    </xf>
    <xf numFmtId="165" fontId="8" fillId="0" borderId="17" xfId="1" applyFont="1" applyBorder="1" applyAlignment="1">
      <alignment horizontal="left" indent="2"/>
    </xf>
    <xf numFmtId="166" fontId="8" fillId="0" borderId="26" xfId="1" applyNumberFormat="1" applyFont="1" applyBorder="1"/>
    <xf numFmtId="165" fontId="8" fillId="0" borderId="14" xfId="1" quotePrefix="1" applyFont="1" applyBorder="1" applyAlignment="1">
      <alignment horizontal="left" indent="2"/>
    </xf>
    <xf numFmtId="165" fontId="8" fillId="0" borderId="17" xfId="1" quotePrefix="1" applyFont="1" applyBorder="1" applyAlignment="1">
      <alignment horizontal="left" indent="2"/>
    </xf>
    <xf numFmtId="165" fontId="9" fillId="0" borderId="14" xfId="1" applyFont="1" applyBorder="1" applyAlignment="1">
      <alignment horizontal="left" indent="1"/>
    </xf>
    <xf numFmtId="165" fontId="9" fillId="0" borderId="17" xfId="1" applyFont="1" applyBorder="1" applyAlignment="1">
      <alignment horizontal="left" indent="1"/>
    </xf>
    <xf numFmtId="166" fontId="9" fillId="0" borderId="20" xfId="1" applyNumberFormat="1" applyFont="1" applyBorder="1" applyAlignment="1">
      <alignment horizontal="right"/>
    </xf>
    <xf numFmtId="166" fontId="8" fillId="0" borderId="4" xfId="1" applyNumberFormat="1" applyFont="1" applyBorder="1"/>
    <xf numFmtId="166" fontId="9" fillId="0" borderId="20" xfId="0" applyNumberFormat="1" applyFont="1" applyBorder="1" applyAlignment="1">
      <alignment horizontal="right"/>
    </xf>
    <xf numFmtId="165" fontId="8" fillId="0" borderId="14" xfId="1" applyFont="1" applyBorder="1" applyAlignment="1"/>
    <xf numFmtId="165" fontId="8" fillId="0" borderId="17" xfId="1" applyFont="1" applyBorder="1" applyAlignment="1"/>
    <xf numFmtId="166" fontId="8" fillId="0" borderId="20" xfId="1" applyNumberFormat="1" applyFont="1" applyBorder="1"/>
    <xf numFmtId="166" fontId="8" fillId="0" borderId="0" xfId="0" applyNumberFormat="1" applyFont="1"/>
    <xf numFmtId="166" fontId="9" fillId="0" borderId="4" xfId="1" applyNumberFormat="1" applyFont="1" applyBorder="1" applyAlignment="1"/>
    <xf numFmtId="166" fontId="8" fillId="0" borderId="26" xfId="1" applyNumberFormat="1" applyFont="1" applyBorder="1" applyAlignment="1"/>
    <xf numFmtId="166" fontId="8" fillId="0" borderId="20" xfId="1" applyNumberFormat="1" applyFont="1" applyBorder="1" applyAlignment="1"/>
    <xf numFmtId="166" fontId="8" fillId="0" borderId="20" xfId="0" applyNumberFormat="1" applyFont="1" applyBorder="1" applyAlignment="1">
      <alignment horizontal="right"/>
    </xf>
    <xf numFmtId="166" fontId="9" fillId="0" borderId="26" xfId="1" applyNumberFormat="1" applyFont="1" applyBorder="1"/>
    <xf numFmtId="0" fontId="8" fillId="0" borderId="15" xfId="0" applyFont="1" applyBorder="1"/>
    <xf numFmtId="0" fontId="8" fillId="0" borderId="18" xfId="0" applyFont="1" applyBorder="1"/>
    <xf numFmtId="166" fontId="8" fillId="0" borderId="21" xfId="0" applyNumberFormat="1" applyFont="1" applyBorder="1" applyAlignment="1">
      <alignment horizontal="right"/>
    </xf>
    <xf numFmtId="166" fontId="8" fillId="0" borderId="0" xfId="0" applyNumberFormat="1" applyFont="1" applyAlignment="1">
      <alignment horizontal="right"/>
    </xf>
    <xf numFmtId="166" fontId="8" fillId="0" borderId="0" xfId="2" applyNumberFormat="1" applyFont="1" applyFill="1" applyAlignment="1"/>
    <xf numFmtId="166" fontId="9" fillId="0" borderId="0" xfId="2" applyNumberFormat="1" applyFont="1" applyFill="1" applyAlignment="1">
      <alignment horizontal="left"/>
    </xf>
    <xf numFmtId="0" fontId="9" fillId="0" borderId="0" xfId="2" applyNumberFormat="1" applyFont="1" applyFill="1" applyAlignment="1"/>
    <xf numFmtId="166" fontId="8" fillId="0" borderId="0" xfId="2" applyNumberFormat="1" applyFont="1" applyFill="1" applyAlignment="1">
      <alignment horizontal="left"/>
    </xf>
    <xf numFmtId="166" fontId="8" fillId="0" borderId="0" xfId="2" applyNumberFormat="1" applyFont="1" applyFill="1"/>
    <xf numFmtId="166" fontId="10" fillId="0" borderId="0" xfId="0" applyNumberFormat="1" applyFont="1" applyAlignment="1">
      <alignment horizontal="right"/>
    </xf>
    <xf numFmtId="0" fontId="9" fillId="0" borderId="0" xfId="0" quotePrefix="1" applyFont="1"/>
    <xf numFmtId="0" fontId="9" fillId="0" borderId="1" xfId="0" applyFont="1" applyBorder="1"/>
    <xf numFmtId="0" fontId="9" fillId="0" borderId="3" xfId="0" applyFont="1" applyBorder="1"/>
    <xf numFmtId="0" fontId="9" fillId="0" borderId="0" xfId="0" applyFont="1" applyAlignment="1">
      <alignment horizontal="center"/>
    </xf>
    <xf numFmtId="0" fontId="9" fillId="0" borderId="5" xfId="0" applyFont="1" applyBorder="1"/>
    <xf numFmtId="14" fontId="9" fillId="0" borderId="6" xfId="0" applyNumberFormat="1" applyFont="1" applyBorder="1" applyAlignment="1">
      <alignment horizontal="center"/>
    </xf>
    <xf numFmtId="0" fontId="9" fillId="0" borderId="12" xfId="0" applyFont="1" applyBorder="1"/>
    <xf numFmtId="0" fontId="9" fillId="0" borderId="6" xfId="0" applyFont="1" applyBorder="1" applyAlignment="1">
      <alignment horizontal="center"/>
    </xf>
    <xf numFmtId="0" fontId="9" fillId="0" borderId="12" xfId="0" applyFont="1" applyBorder="1" applyAlignment="1">
      <alignment horizontal="center"/>
    </xf>
    <xf numFmtId="0" fontId="9" fillId="0" borderId="5" xfId="0" applyFont="1" applyBorder="1" applyAlignment="1">
      <alignment horizontal="center"/>
    </xf>
    <xf numFmtId="14" fontId="9" fillId="0" borderId="12" xfId="0" applyNumberFormat="1" applyFont="1" applyBorder="1" applyAlignment="1">
      <alignment horizontal="center"/>
    </xf>
    <xf numFmtId="0" fontId="8" fillId="0" borderId="3" xfId="0" applyFont="1" applyBorder="1"/>
    <xf numFmtId="0" fontId="8" fillId="0" borderId="4" xfId="0" applyFont="1" applyBorder="1"/>
    <xf numFmtId="166" fontId="8" fillId="0" borderId="0" xfId="1" applyNumberFormat="1" applyFont="1" applyBorder="1"/>
    <xf numFmtId="0" fontId="9" fillId="0" borderId="24" xfId="0" applyFont="1" applyBorder="1"/>
    <xf numFmtId="166" fontId="9" fillId="0" borderId="9" xfId="1" applyNumberFormat="1" applyFont="1" applyBorder="1"/>
    <xf numFmtId="166" fontId="9" fillId="0" borderId="22" xfId="1" applyNumberFormat="1" applyFont="1" applyBorder="1"/>
    <xf numFmtId="166" fontId="9" fillId="0" borderId="9" xfId="1" applyNumberFormat="1" applyFont="1" applyFill="1" applyBorder="1"/>
    <xf numFmtId="0" fontId="0" fillId="3" borderId="0" xfId="0" applyFill="1"/>
    <xf numFmtId="166" fontId="0" fillId="0" borderId="0" xfId="0" applyNumberFormat="1"/>
    <xf numFmtId="166" fontId="8" fillId="0" borderId="0" xfId="3" applyNumberFormat="1" applyFont="1" applyBorder="1"/>
    <xf numFmtId="3" fontId="0" fillId="0" borderId="0" xfId="0" applyNumberFormat="1"/>
    <xf numFmtId="0" fontId="13" fillId="0" borderId="22" xfId="10" applyFont="1" applyBorder="1"/>
    <xf numFmtId="0" fontId="13" fillId="0" borderId="0" xfId="10" applyFont="1"/>
    <xf numFmtId="166" fontId="13" fillId="0" borderId="4" xfId="3" applyNumberFormat="1" applyFont="1" applyFill="1" applyBorder="1"/>
    <xf numFmtId="43" fontId="13" fillId="0" borderId="4" xfId="11" applyNumberFormat="1" applyFont="1" applyFill="1" applyBorder="1"/>
    <xf numFmtId="0" fontId="13" fillId="0" borderId="3" xfId="10" applyFont="1" applyBorder="1"/>
    <xf numFmtId="0" fontId="12" fillId="0" borderId="3" xfId="10" applyFont="1" applyBorder="1" applyAlignment="1">
      <alignment horizontal="left"/>
    </xf>
    <xf numFmtId="0" fontId="13" fillId="0" borderId="5" xfId="10" applyFont="1" applyBorder="1"/>
    <xf numFmtId="0" fontId="12" fillId="0" borderId="5" xfId="10" applyFont="1" applyBorder="1" applyAlignment="1">
      <alignment horizontal="left"/>
    </xf>
    <xf numFmtId="0" fontId="13" fillId="0" borderId="1" xfId="10" applyFont="1" applyBorder="1"/>
    <xf numFmtId="0" fontId="6" fillId="0" borderId="3" xfId="10" applyFont="1" applyBorder="1"/>
    <xf numFmtId="0" fontId="6" fillId="0" borderId="0" xfId="10" applyFont="1"/>
    <xf numFmtId="166" fontId="6" fillId="0" borderId="0" xfId="3" applyNumberFormat="1" applyFont="1" applyFill="1" applyBorder="1"/>
    <xf numFmtId="43" fontId="6" fillId="0" borderId="8" xfId="11" applyNumberFormat="1" applyFont="1" applyFill="1" applyBorder="1"/>
    <xf numFmtId="0" fontId="6" fillId="0" borderId="3" xfId="10" applyFont="1" applyBorder="1" applyAlignment="1">
      <alignment horizontal="center"/>
    </xf>
    <xf numFmtId="0" fontId="7" fillId="0" borderId="3" xfId="10" applyFont="1" applyBorder="1"/>
    <xf numFmtId="166" fontId="7" fillId="0" borderId="0" xfId="3" applyNumberFormat="1" applyFont="1" applyFill="1" applyBorder="1" applyAlignment="1"/>
    <xf numFmtId="166" fontId="13" fillId="0" borderId="0" xfId="3" applyNumberFormat="1" applyFont="1" applyFill="1"/>
    <xf numFmtId="1" fontId="6" fillId="0" borderId="3" xfId="10" applyNumberFormat="1" applyFont="1" applyBorder="1"/>
    <xf numFmtId="0" fontId="7" fillId="0" borderId="0" xfId="10" applyFont="1"/>
    <xf numFmtId="166" fontId="6" fillId="0" borderId="0" xfId="3" applyNumberFormat="1" applyFont="1" applyFill="1" applyBorder="1" applyAlignment="1"/>
    <xf numFmtId="43" fontId="13" fillId="0" borderId="8" xfId="11" applyNumberFormat="1" applyFont="1" applyFill="1" applyBorder="1"/>
    <xf numFmtId="166" fontId="6" fillId="0" borderId="0" xfId="3" applyNumberFormat="1" applyFont="1" applyFill="1" applyBorder="1" applyAlignment="1">
      <alignment horizontal="left" indent="2"/>
    </xf>
    <xf numFmtId="43" fontId="6" fillId="0" borderId="8" xfId="11" applyNumberFormat="1" applyFont="1" applyFill="1" applyBorder="1" applyAlignment="1">
      <alignment horizontal="left" indent="2"/>
    </xf>
    <xf numFmtId="1" fontId="6" fillId="0" borderId="3" xfId="13" applyNumberFormat="1" applyFont="1" applyBorder="1"/>
    <xf numFmtId="0" fontId="14" fillId="0" borderId="0" xfId="13" applyFont="1"/>
    <xf numFmtId="169" fontId="6" fillId="0" borderId="8" xfId="11" applyNumberFormat="1" applyFont="1" applyFill="1" applyBorder="1" applyAlignment="1"/>
    <xf numFmtId="1" fontId="6" fillId="0" borderId="5" xfId="13" applyNumberFormat="1" applyFont="1" applyBorder="1"/>
    <xf numFmtId="1" fontId="6" fillId="0" borderId="12" xfId="13" applyNumberFormat="1" applyFont="1" applyBorder="1"/>
    <xf numFmtId="0" fontId="14" fillId="0" borderId="12" xfId="13" applyFont="1" applyBorder="1"/>
    <xf numFmtId="166" fontId="13" fillId="0" borderId="12" xfId="3" applyNumberFormat="1" applyFont="1" applyFill="1" applyBorder="1"/>
    <xf numFmtId="169" fontId="6" fillId="0" borderId="7" xfId="11" applyNumberFormat="1" applyFont="1" applyFill="1" applyBorder="1" applyAlignment="1"/>
    <xf numFmtId="0" fontId="13" fillId="0" borderId="8" xfId="10" applyFont="1" applyBorder="1"/>
    <xf numFmtId="0" fontId="12" fillId="0" borderId="0" xfId="10" applyFont="1" applyAlignment="1">
      <alignment horizontal="left"/>
    </xf>
    <xf numFmtId="43" fontId="13" fillId="0" borderId="0" xfId="11" applyNumberFormat="1" applyFont="1" applyFill="1" applyAlignment="1">
      <alignment horizontal="right"/>
    </xf>
    <xf numFmtId="0" fontId="12" fillId="0" borderId="24" xfId="10" applyFont="1" applyBorder="1" applyAlignment="1">
      <alignment horizontal="left"/>
    </xf>
    <xf numFmtId="0" fontId="6" fillId="0" borderId="25" xfId="10" applyFont="1" applyBorder="1"/>
    <xf numFmtId="165" fontId="12" fillId="0" borderId="9" xfId="15" applyNumberFormat="1" applyFont="1" applyFill="1" applyBorder="1" applyAlignment="1">
      <alignment horizontal="center" vertical="center"/>
    </xf>
    <xf numFmtId="0" fontId="6" fillId="0" borderId="8" xfId="10" applyFont="1" applyBorder="1"/>
    <xf numFmtId="164" fontId="13" fillId="0" borderId="11" xfId="10" applyNumberFormat="1" applyFont="1" applyBorder="1"/>
    <xf numFmtId="164" fontId="13" fillId="0" borderId="4" xfId="10" applyNumberFormat="1" applyFont="1" applyBorder="1"/>
    <xf numFmtId="0" fontId="13" fillId="0" borderId="3" xfId="0" applyFont="1" applyBorder="1" applyAlignment="1">
      <alignment horizontal="left"/>
    </xf>
    <xf numFmtId="0" fontId="13" fillId="0" borderId="12" xfId="10" applyFont="1" applyBorder="1"/>
    <xf numFmtId="0" fontId="6" fillId="0" borderId="7" xfId="10" applyFont="1" applyBorder="1"/>
    <xf numFmtId="164" fontId="12" fillId="0" borderId="9" xfId="10" applyNumberFormat="1" applyFont="1" applyBorder="1"/>
    <xf numFmtId="0" fontId="13" fillId="0" borderId="2" xfId="10" applyFont="1" applyBorder="1"/>
    <xf numFmtId="0" fontId="12" fillId="0" borderId="5" xfId="10" applyFont="1" applyBorder="1"/>
    <xf numFmtId="0" fontId="13" fillId="0" borderId="7" xfId="10" applyFont="1" applyBorder="1"/>
    <xf numFmtId="0" fontId="12" fillId="0" borderId="9" xfId="10" applyFont="1" applyBorder="1" applyAlignment="1">
      <alignment horizontal="center" vertical="center"/>
    </xf>
    <xf numFmtId="0" fontId="12" fillId="0" borderId="9" xfId="10" applyFont="1" applyBorder="1" applyAlignment="1">
      <alignment horizontal="center" vertical="center" wrapText="1"/>
    </xf>
    <xf numFmtId="164" fontId="13" fillId="0" borderId="11" xfId="16" applyNumberFormat="1" applyFont="1" applyFill="1" applyBorder="1"/>
    <xf numFmtId="168" fontId="13" fillId="0" borderId="0" xfId="16" applyNumberFormat="1" applyFont="1" applyFill="1" applyBorder="1" applyAlignment="1">
      <alignment vertical="center"/>
    </xf>
    <xf numFmtId="164" fontId="13" fillId="0" borderId="4" xfId="16" applyNumberFormat="1" applyFont="1" applyFill="1" applyBorder="1"/>
    <xf numFmtId="0" fontId="13" fillId="0" borderId="5" xfId="17" applyFont="1" applyBorder="1"/>
    <xf numFmtId="164" fontId="13" fillId="0" borderId="7" xfId="16" applyNumberFormat="1" applyFont="1" applyFill="1" applyBorder="1"/>
    <xf numFmtId="0" fontId="12" fillId="0" borderId="24" xfId="17" applyFont="1" applyBorder="1"/>
    <xf numFmtId="0" fontId="13" fillId="0" borderId="25" xfId="10" applyFont="1" applyBorder="1"/>
    <xf numFmtId="164" fontId="13" fillId="0" borderId="9" xfId="10" applyNumberFormat="1" applyFont="1" applyBorder="1"/>
    <xf numFmtId="164" fontId="13" fillId="0" borderId="9" xfId="16" applyNumberFormat="1" applyFont="1" applyFill="1" applyBorder="1"/>
    <xf numFmtId="168" fontId="13" fillId="0" borderId="8" xfId="10" applyNumberFormat="1" applyFont="1" applyBorder="1" applyAlignment="1">
      <alignment vertical="center"/>
    </xf>
    <xf numFmtId="168" fontId="13" fillId="0" borderId="6" xfId="10" applyNumberFormat="1" applyFont="1" applyBorder="1"/>
    <xf numFmtId="0" fontId="12" fillId="0" borderId="24" xfId="10" applyFont="1" applyBorder="1"/>
    <xf numFmtId="0" fontId="12" fillId="0" borderId="25" xfId="10" applyFont="1" applyBorder="1"/>
    <xf numFmtId="166" fontId="12" fillId="0" borderId="25" xfId="10" applyNumberFormat="1" applyFont="1" applyBorder="1"/>
    <xf numFmtId="0" fontId="12" fillId="0" borderId="22" xfId="10" applyFont="1" applyBorder="1"/>
    <xf numFmtId="164" fontId="12" fillId="0" borderId="22" xfId="10" applyNumberFormat="1" applyFont="1" applyBorder="1"/>
    <xf numFmtId="166" fontId="12" fillId="0" borderId="22" xfId="10" applyNumberFormat="1" applyFont="1" applyBorder="1"/>
    <xf numFmtId="0" fontId="12" fillId="0" borderId="1" xfId="10" applyFont="1" applyBorder="1"/>
    <xf numFmtId="0" fontId="9" fillId="0" borderId="11" xfId="0" applyFont="1" applyBorder="1"/>
    <xf numFmtId="0" fontId="9" fillId="0" borderId="4" xfId="0" applyFont="1" applyBorder="1"/>
    <xf numFmtId="0" fontId="9" fillId="0" borderId="6" xfId="0" applyFont="1" applyBorder="1"/>
    <xf numFmtId="166" fontId="8" fillId="0" borderId="4" xfId="3" applyNumberFormat="1" applyFont="1" applyBorder="1"/>
    <xf numFmtId="166" fontId="8" fillId="0" borderId="0" xfId="24" applyNumberFormat="1" applyFont="1" applyBorder="1"/>
    <xf numFmtId="166" fontId="8" fillId="0" borderId="0" xfId="3" applyNumberFormat="1" applyFont="1" applyFill="1" applyBorder="1"/>
    <xf numFmtId="0" fontId="9" fillId="0" borderId="9" xfId="0" applyFont="1" applyBorder="1"/>
    <xf numFmtId="166" fontId="9" fillId="0" borderId="9" xfId="3" applyNumberFormat="1" applyFont="1" applyBorder="1"/>
    <xf numFmtId="166" fontId="9" fillId="0" borderId="22" xfId="3" applyNumberFormat="1" applyFont="1" applyBorder="1"/>
    <xf numFmtId="166" fontId="9" fillId="0" borderId="9" xfId="3" applyNumberFormat="1" applyFont="1" applyFill="1" applyBorder="1"/>
    <xf numFmtId="3" fontId="0" fillId="3" borderId="0" xfId="0" applyNumberFormat="1" applyFill="1"/>
    <xf numFmtId="166" fontId="4" fillId="0" borderId="19" xfId="1" applyNumberFormat="1" applyFont="1" applyFill="1" applyBorder="1"/>
    <xf numFmtId="0" fontId="0" fillId="0" borderId="4" xfId="0" applyBorder="1"/>
    <xf numFmtId="166" fontId="8" fillId="0" borderId="8" xfId="3" applyNumberFormat="1" applyFont="1" applyBorder="1"/>
    <xf numFmtId="0" fontId="8" fillId="0" borderId="8" xfId="0" applyFont="1" applyBorder="1"/>
    <xf numFmtId="0" fontId="8" fillId="0" borderId="11" xfId="0" applyFont="1" applyBorder="1"/>
    <xf numFmtId="168" fontId="13" fillId="0" borderId="7" xfId="16" applyNumberFormat="1" applyFont="1" applyFill="1" applyBorder="1" applyAlignment="1">
      <alignment vertical="center"/>
    </xf>
    <xf numFmtId="168" fontId="13" fillId="0" borderId="25" xfId="16" applyNumberFormat="1" applyFont="1" applyFill="1" applyBorder="1" applyAlignment="1">
      <alignment vertical="center"/>
    </xf>
    <xf numFmtId="168" fontId="13" fillId="0" borderId="5" xfId="16" applyNumberFormat="1" applyFont="1" applyFill="1" applyBorder="1"/>
    <xf numFmtId="166" fontId="0" fillId="0" borderId="0" xfId="1" applyNumberFormat="1" applyFont="1"/>
    <xf numFmtId="166" fontId="4" fillId="0" borderId="0" xfId="0" applyNumberFormat="1" applyFont="1"/>
    <xf numFmtId="166" fontId="0" fillId="0" borderId="0" xfId="3" applyNumberFormat="1" applyFont="1"/>
    <xf numFmtId="0" fontId="3" fillId="0" borderId="0" xfId="0" applyFont="1"/>
    <xf numFmtId="0" fontId="15" fillId="0" borderId="0" xfId="0" applyFont="1"/>
    <xf numFmtId="166" fontId="3" fillId="0" borderId="0" xfId="3" applyNumberFormat="1" applyFont="1"/>
    <xf numFmtId="0" fontId="16" fillId="0" borderId="0" xfId="0" applyFont="1"/>
    <xf numFmtId="0" fontId="3" fillId="0" borderId="0" xfId="0" applyFont="1" applyAlignment="1">
      <alignment horizontal="center"/>
    </xf>
    <xf numFmtId="166" fontId="3" fillId="0" borderId="0" xfId="3" applyNumberFormat="1" applyFont="1" applyAlignment="1">
      <alignment horizontal="center"/>
    </xf>
    <xf numFmtId="14" fontId="3" fillId="0" borderId="0" xfId="0" applyNumberFormat="1" applyFont="1"/>
    <xf numFmtId="0" fontId="3" fillId="0" borderId="12" xfId="0" applyFont="1" applyBorder="1"/>
    <xf numFmtId="166" fontId="3" fillId="0" borderId="12" xfId="3" applyNumberFormat="1" applyFont="1" applyBorder="1"/>
    <xf numFmtId="166" fontId="3" fillId="0" borderId="0" xfId="3" applyNumberFormat="1" applyFont="1" applyBorder="1"/>
    <xf numFmtId="166" fontId="16" fillId="0" borderId="0" xfId="3" applyNumberFormat="1" applyFont="1"/>
    <xf numFmtId="166" fontId="16" fillId="0" borderId="27" xfId="3" applyNumberFormat="1" applyFont="1" applyBorder="1"/>
    <xf numFmtId="166" fontId="16" fillId="0" borderId="0" xfId="3" applyNumberFormat="1" applyFont="1" applyBorder="1"/>
    <xf numFmtId="166" fontId="3" fillId="0" borderId="0" xfId="0" applyNumberFormat="1" applyFont="1"/>
    <xf numFmtId="166" fontId="3" fillId="0" borderId="23" xfId="3" applyNumberFormat="1" applyFont="1" applyBorder="1"/>
    <xf numFmtId="166" fontId="16" fillId="0" borderId="23" xfId="3" applyNumberFormat="1" applyFont="1" applyBorder="1"/>
    <xf numFmtId="166" fontId="0" fillId="0" borderId="12" xfId="3" applyNumberFormat="1" applyFont="1" applyBorder="1"/>
    <xf numFmtId="166" fontId="0" fillId="0" borderId="12" xfId="0" applyNumberFormat="1" applyBorder="1"/>
    <xf numFmtId="166" fontId="0" fillId="0" borderId="28" xfId="0" applyNumberFormat="1" applyBorder="1"/>
    <xf numFmtId="0" fontId="16" fillId="0" borderId="0" xfId="0" applyFont="1" applyAlignment="1">
      <alignment horizontal="right"/>
    </xf>
    <xf numFmtId="166" fontId="3" fillId="0" borderId="28" xfId="3" applyNumberFormat="1" applyFont="1" applyBorder="1"/>
    <xf numFmtId="14" fontId="3" fillId="0" borderId="0" xfId="0" applyNumberFormat="1" applyFont="1" applyAlignment="1">
      <alignment horizontal="left" vertical="center"/>
    </xf>
    <xf numFmtId="166" fontId="0" fillId="0" borderId="0" xfId="1" applyNumberFormat="1" applyFont="1" applyFill="1"/>
    <xf numFmtId="166" fontId="17" fillId="0" borderId="0" xfId="1" applyNumberFormat="1" applyFont="1" applyFill="1"/>
    <xf numFmtId="0" fontId="9" fillId="0" borderId="22" xfId="0" applyFont="1" applyBorder="1" applyAlignment="1">
      <alignment horizontal="center"/>
    </xf>
    <xf numFmtId="166" fontId="8" fillId="0" borderId="6" xfId="1" applyNumberFormat="1" applyFont="1" applyBorder="1"/>
    <xf numFmtId="166" fontId="8" fillId="0" borderId="4" xfId="1" applyNumberFormat="1" applyFont="1" applyFill="1" applyBorder="1"/>
    <xf numFmtId="0" fontId="19" fillId="0" borderId="0" xfId="0" applyFont="1"/>
    <xf numFmtId="0" fontId="20" fillId="0" borderId="23" xfId="0" applyFont="1" applyBorder="1"/>
    <xf numFmtId="0" fontId="20" fillId="0" borderId="23" xfId="0" applyFont="1" applyBorder="1" applyAlignment="1">
      <alignment horizontal="center"/>
    </xf>
    <xf numFmtId="0" fontId="20" fillId="0" borderId="0" xfId="0" applyFont="1" applyAlignment="1">
      <alignment horizontal="center"/>
    </xf>
    <xf numFmtId="0" fontId="19" fillId="0" borderId="12" xfId="0" applyFont="1" applyBorder="1"/>
    <xf numFmtId="0" fontId="20" fillId="0" borderId="12" xfId="0" applyFont="1" applyBorder="1" applyAlignment="1">
      <alignment horizontal="center"/>
    </xf>
    <xf numFmtId="0" fontId="21" fillId="0" borderId="0" xfId="0" applyFont="1"/>
    <xf numFmtId="166" fontId="19" fillId="0" borderId="0" xfId="3" applyNumberFormat="1" applyFont="1"/>
    <xf numFmtId="165" fontId="19" fillId="0" borderId="0" xfId="3" applyFont="1"/>
    <xf numFmtId="166" fontId="19" fillId="0" borderId="12" xfId="3" applyNumberFormat="1" applyFont="1" applyBorder="1"/>
    <xf numFmtId="0" fontId="0" fillId="0" borderId="12" xfId="0" applyBorder="1"/>
    <xf numFmtId="174" fontId="19" fillId="0" borderId="0" xfId="3" applyNumberFormat="1" applyFont="1"/>
    <xf numFmtId="165" fontId="0" fillId="0" borderId="0" xfId="3" applyFont="1"/>
    <xf numFmtId="0" fontId="19" fillId="0" borderId="0" xfId="0" applyFont="1" applyAlignment="1">
      <alignment horizontal="center"/>
    </xf>
    <xf numFmtId="165" fontId="19" fillId="0" borderId="0" xfId="3" applyFont="1" applyAlignment="1">
      <alignment horizontal="right"/>
    </xf>
    <xf numFmtId="166" fontId="22" fillId="0" borderId="0" xfId="1" applyNumberFormat="1" applyFont="1"/>
    <xf numFmtId="0" fontId="22" fillId="0" borderId="0" xfId="0" applyFont="1"/>
    <xf numFmtId="166" fontId="22" fillId="0" borderId="12" xfId="1" applyNumberFormat="1" applyFont="1" applyBorder="1"/>
    <xf numFmtId="0" fontId="22" fillId="0" borderId="0" xfId="0" applyFont="1" applyAlignment="1">
      <alignment horizontal="right"/>
    </xf>
    <xf numFmtId="166" fontId="22" fillId="0" borderId="22" xfId="1" applyNumberFormat="1" applyFont="1" applyBorder="1"/>
    <xf numFmtId="166" fontId="22" fillId="0" borderId="0" xfId="1" applyNumberFormat="1" applyFont="1" applyBorder="1"/>
    <xf numFmtId="0" fontId="22" fillId="0" borderId="0" xfId="0" applyFont="1" applyAlignment="1">
      <alignment horizontal="left"/>
    </xf>
    <xf numFmtId="0" fontId="0" fillId="0" borderId="13" xfId="0" applyBorder="1"/>
    <xf numFmtId="0" fontId="0" fillId="0" borderId="19" xfId="0" applyBorder="1" applyAlignment="1">
      <alignment horizontal="center"/>
    </xf>
    <xf numFmtId="0" fontId="0" fillId="0" borderId="16" xfId="0" applyBorder="1" applyAlignment="1">
      <alignment horizontal="center"/>
    </xf>
    <xf numFmtId="0" fontId="2" fillId="0" borderId="14" xfId="0" applyFont="1" applyBorder="1"/>
    <xf numFmtId="0" fontId="0" fillId="0" borderId="20" xfId="0" applyBorder="1"/>
    <xf numFmtId="0" fontId="0" fillId="0" borderId="17" xfId="0" applyBorder="1" applyAlignment="1">
      <alignment horizontal="center"/>
    </xf>
    <xf numFmtId="0" fontId="0" fillId="0" borderId="14" xfId="0" applyBorder="1"/>
    <xf numFmtId="166" fontId="0" fillId="0" borderId="20" xfId="1" applyNumberFormat="1" applyFont="1" applyFill="1" applyBorder="1"/>
    <xf numFmtId="166" fontId="0" fillId="0" borderId="17" xfId="1" applyNumberFormat="1" applyFont="1" applyFill="1" applyBorder="1"/>
    <xf numFmtId="0" fontId="0" fillId="0" borderId="17" xfId="0" applyBorder="1"/>
    <xf numFmtId="0" fontId="0" fillId="0" borderId="15" xfId="0" applyBorder="1"/>
    <xf numFmtId="0" fontId="0" fillId="0" borderId="21" xfId="0" applyBorder="1"/>
    <xf numFmtId="0" fontId="0" fillId="0" borderId="18" xfId="0" applyBorder="1"/>
    <xf numFmtId="43" fontId="13" fillId="0" borderId="0" xfId="11" applyNumberFormat="1" applyFont="1" applyFill="1" applyBorder="1"/>
    <xf numFmtId="165" fontId="0" fillId="0" borderId="0" xfId="1" applyFont="1"/>
    <xf numFmtId="166" fontId="2" fillId="0" borderId="0" xfId="3" applyNumberFormat="1" applyFont="1" applyBorder="1" applyAlignment="1">
      <alignment horizontal="right"/>
    </xf>
    <xf numFmtId="166" fontId="16" fillId="0" borderId="28" xfId="3" applyNumberFormat="1" applyFont="1" applyBorder="1"/>
    <xf numFmtId="0" fontId="13" fillId="0" borderId="0" xfId="0" applyFont="1"/>
    <xf numFmtId="0" fontId="17" fillId="0" borderId="0" xfId="0" applyFont="1"/>
    <xf numFmtId="166" fontId="0" fillId="0" borderId="0" xfId="1" applyNumberFormat="1" applyFont="1" applyFill="1" applyBorder="1"/>
    <xf numFmtId="166" fontId="0" fillId="0" borderId="28" xfId="1" applyNumberFormat="1" applyFont="1" applyFill="1" applyBorder="1"/>
    <xf numFmtId="166" fontId="2" fillId="0" borderId="28" xfId="1" applyNumberFormat="1" applyFont="1" applyFill="1" applyBorder="1"/>
    <xf numFmtId="0" fontId="2" fillId="0" borderId="0" xfId="0" applyFont="1" applyAlignment="1">
      <alignment horizontal="left"/>
    </xf>
    <xf numFmtId="166" fontId="2" fillId="0" borderId="28" xfId="1" applyNumberFormat="1" applyFont="1" applyBorder="1"/>
    <xf numFmtId="166" fontId="4" fillId="0" borderId="0" xfId="1" applyNumberFormat="1" applyFont="1" applyFill="1" applyBorder="1"/>
    <xf numFmtId="43" fontId="0" fillId="0" borderId="0" xfId="0" applyNumberFormat="1"/>
    <xf numFmtId="166" fontId="19" fillId="0" borderId="0" xfId="1" applyNumberFormat="1" applyFont="1"/>
    <xf numFmtId="0" fontId="20" fillId="0" borderId="0" xfId="0" applyFont="1"/>
    <xf numFmtId="166" fontId="1" fillId="0" borderId="0" xfId="3" applyNumberFormat="1" applyFont="1" applyBorder="1" applyAlignment="1">
      <alignment horizontal="right"/>
    </xf>
    <xf numFmtId="165" fontId="7" fillId="0" borderId="9" xfId="15" applyNumberFormat="1" applyFont="1" applyFill="1" applyBorder="1" applyAlignment="1">
      <alignment horizontal="right" vertical="center"/>
    </xf>
    <xf numFmtId="165" fontId="7" fillId="0" borderId="9" xfId="15" applyNumberFormat="1" applyFont="1" applyFill="1" applyBorder="1" applyAlignment="1">
      <alignment horizontal="left" vertical="center"/>
    </xf>
    <xf numFmtId="166" fontId="13" fillId="0" borderId="0" xfId="1" applyNumberFormat="1" applyFont="1"/>
    <xf numFmtId="166" fontId="2" fillId="0" borderId="0" xfId="1" applyNumberFormat="1" applyFont="1" applyFill="1" applyBorder="1"/>
    <xf numFmtId="166" fontId="2" fillId="0" borderId="0" xfId="0" applyNumberFormat="1" applyFont="1"/>
    <xf numFmtId="168" fontId="13" fillId="0" borderId="8" xfId="16" applyNumberFormat="1" applyFont="1" applyFill="1" applyBorder="1" applyAlignment="1">
      <alignment vertical="center"/>
    </xf>
    <xf numFmtId="4" fontId="0" fillId="0" borderId="0" xfId="0" applyNumberFormat="1"/>
    <xf numFmtId="164" fontId="4" fillId="0" borderId="0" xfId="0" applyNumberFormat="1" applyFont="1"/>
    <xf numFmtId="165" fontId="4" fillId="0" borderId="0" xfId="0" applyNumberFormat="1" applyFont="1"/>
    <xf numFmtId="166" fontId="0" fillId="0" borderId="29" xfId="1" applyNumberFormat="1" applyFont="1" applyBorder="1"/>
    <xf numFmtId="166" fontId="0" fillId="0" borderId="17" xfId="1" applyNumberFormat="1" applyFont="1" applyBorder="1"/>
    <xf numFmtId="166" fontId="4" fillId="2" borderId="20" xfId="1" applyNumberFormat="1" applyFont="1" applyFill="1" applyBorder="1"/>
    <xf numFmtId="166" fontId="4" fillId="2" borderId="17" xfId="1" applyNumberFormat="1" applyFont="1" applyFill="1" applyBorder="1"/>
    <xf numFmtId="0" fontId="23" fillId="0" borderId="0" xfId="0" applyFont="1"/>
    <xf numFmtId="166" fontId="4" fillId="2" borderId="16" xfId="1" applyNumberFormat="1" applyFont="1" applyFill="1" applyBorder="1"/>
    <xf numFmtId="0" fontId="0" fillId="6" borderId="0" xfId="0" applyFill="1"/>
    <xf numFmtId="166" fontId="0" fillId="4" borderId="0" xfId="1" applyNumberFormat="1" applyFont="1" applyFill="1"/>
    <xf numFmtId="166" fontId="0" fillId="3" borderId="0" xfId="1" applyNumberFormat="1" applyFont="1" applyFill="1"/>
    <xf numFmtId="166" fontId="4" fillId="0" borderId="0" xfId="1" applyNumberFormat="1" applyFont="1" applyAlignment="1">
      <alignment horizontal="center"/>
    </xf>
    <xf numFmtId="166" fontId="4" fillId="3" borderId="0" xfId="1" applyNumberFormat="1" applyFont="1" applyFill="1"/>
    <xf numFmtId="166" fontId="0" fillId="2" borderId="0" xfId="1" applyNumberFormat="1" applyFont="1" applyFill="1"/>
    <xf numFmtId="166" fontId="4" fillId="3" borderId="20" xfId="1" applyNumberFormat="1" applyFont="1" applyFill="1" applyBorder="1"/>
    <xf numFmtId="166" fontId="4" fillId="3" borderId="17" xfId="1" applyNumberFormat="1" applyFont="1" applyFill="1" applyBorder="1"/>
    <xf numFmtId="0" fontId="24" fillId="0" borderId="9" xfId="10" applyFont="1" applyBorder="1" applyAlignment="1">
      <alignment horizontal="center" wrapText="1"/>
    </xf>
    <xf numFmtId="0" fontId="24" fillId="0" borderId="3" xfId="10" applyFont="1" applyBorder="1"/>
    <xf numFmtId="0" fontId="25" fillId="0" borderId="0" xfId="10" applyFont="1"/>
    <xf numFmtId="0" fontId="25" fillId="0" borderId="4" xfId="10" applyFont="1" applyBorder="1" applyAlignment="1">
      <alignment horizontal="center"/>
    </xf>
    <xf numFmtId="166" fontId="25" fillId="0" borderId="4" xfId="3" applyNumberFormat="1" applyFont="1" applyFill="1" applyBorder="1"/>
    <xf numFmtId="0" fontId="24" fillId="0" borderId="0" xfId="10" applyFont="1"/>
    <xf numFmtId="0" fontId="25" fillId="0" borderId="3" xfId="10" applyFont="1" applyBorder="1"/>
    <xf numFmtId="168" fontId="25" fillId="0" borderId="4" xfId="11" applyNumberFormat="1" applyFont="1" applyFill="1" applyBorder="1"/>
    <xf numFmtId="0" fontId="24" fillId="0" borderId="0" xfId="10" applyFont="1" applyAlignment="1">
      <alignment horizontal="left"/>
    </xf>
    <xf numFmtId="168" fontId="24" fillId="0" borderId="9" xfId="11" applyNumberFormat="1" applyFont="1" applyFill="1" applyBorder="1"/>
    <xf numFmtId="0" fontId="24" fillId="0" borderId="3" xfId="10" applyFont="1" applyBorder="1" applyAlignment="1">
      <alignment horizontal="left"/>
    </xf>
    <xf numFmtId="0" fontId="24" fillId="0" borderId="4" xfId="10" applyFont="1" applyBorder="1" applyAlignment="1">
      <alignment horizontal="center"/>
    </xf>
    <xf numFmtId="166" fontId="24" fillId="0" borderId="10" xfId="3" applyNumberFormat="1" applyFont="1" applyFill="1" applyBorder="1" applyAlignment="1">
      <alignment horizontal="right"/>
    </xf>
    <xf numFmtId="1" fontId="25" fillId="0" borderId="4" xfId="10" applyNumberFormat="1" applyFont="1" applyBorder="1" applyAlignment="1">
      <alignment horizontal="center"/>
    </xf>
    <xf numFmtId="164" fontId="24" fillId="0" borderId="9" xfId="11" applyNumberFormat="1" applyFont="1" applyFill="1" applyBorder="1"/>
    <xf numFmtId="0" fontId="25" fillId="0" borderId="0" xfId="0" applyFont="1"/>
    <xf numFmtId="0" fontId="25" fillId="0" borderId="6" xfId="10" applyFont="1" applyBorder="1" applyAlignment="1">
      <alignment horizontal="center"/>
    </xf>
    <xf numFmtId="0" fontId="27" fillId="0" borderId="12" xfId="10" applyFont="1" applyBorder="1"/>
    <xf numFmtId="43" fontId="27" fillId="0" borderId="8" xfId="11" applyNumberFormat="1" applyFont="1" applyFill="1" applyBorder="1"/>
    <xf numFmtId="166" fontId="25" fillId="0" borderId="0" xfId="0" applyNumberFormat="1" applyFont="1"/>
    <xf numFmtId="166" fontId="25" fillId="0" borderId="0" xfId="1" applyNumberFormat="1" applyFont="1" applyFill="1"/>
    <xf numFmtId="0" fontId="27" fillId="0" borderId="3" xfId="10" applyFont="1" applyBorder="1"/>
    <xf numFmtId="0" fontId="27" fillId="0" borderId="0" xfId="10" applyFont="1"/>
    <xf numFmtId="0" fontId="28" fillId="0" borderId="0" xfId="13" applyFont="1"/>
    <xf numFmtId="166" fontId="27" fillId="0" borderId="0" xfId="3" applyNumberFormat="1" applyFont="1" applyFill="1" applyBorder="1"/>
    <xf numFmtId="1" fontId="27" fillId="0" borderId="0" xfId="13" applyNumberFormat="1" applyFont="1"/>
    <xf numFmtId="166" fontId="26" fillId="0" borderId="0" xfId="3" applyNumberFormat="1" applyFont="1" applyFill="1" applyBorder="1" applyAlignment="1"/>
    <xf numFmtId="1" fontId="27" fillId="0" borderId="3" xfId="10" applyNumberFormat="1" applyFont="1" applyBorder="1"/>
    <xf numFmtId="0" fontId="26" fillId="0" borderId="0" xfId="10" applyFont="1"/>
    <xf numFmtId="1" fontId="27" fillId="0" borderId="3" xfId="13" applyNumberFormat="1" applyFont="1" applyBorder="1"/>
    <xf numFmtId="0" fontId="26" fillId="0" borderId="3" xfId="10" applyFont="1" applyBorder="1"/>
    <xf numFmtId="166" fontId="27" fillId="0" borderId="0" xfId="3" applyNumberFormat="1" applyFont="1" applyFill="1" applyBorder="1" applyAlignment="1"/>
    <xf numFmtId="166" fontId="27" fillId="0" borderId="0" xfId="3" applyNumberFormat="1" applyFont="1" applyFill="1" applyBorder="1" applyAlignment="1">
      <alignment horizontal="left" indent="2"/>
    </xf>
    <xf numFmtId="1" fontId="27" fillId="0" borderId="5" xfId="13" applyNumberFormat="1" applyFont="1" applyBorder="1"/>
    <xf numFmtId="1" fontId="27" fillId="0" borderId="12" xfId="13" applyNumberFormat="1" applyFont="1" applyBorder="1"/>
    <xf numFmtId="0" fontId="24" fillId="0" borderId="22" xfId="10" applyFont="1" applyBorder="1"/>
    <xf numFmtId="0" fontId="24" fillId="0" borderId="22" xfId="10" applyFont="1" applyBorder="1" applyAlignment="1">
      <alignment horizontal="center"/>
    </xf>
    <xf numFmtId="168" fontId="24" fillId="0" borderId="22" xfId="11" applyNumberFormat="1" applyFont="1" applyFill="1" applyBorder="1" applyAlignment="1"/>
    <xf numFmtId="0" fontId="24" fillId="0" borderId="9" xfId="11" applyNumberFormat="1" applyFont="1" applyFill="1" applyBorder="1" applyAlignment="1">
      <alignment horizontal="center" vertical="center" wrapText="1"/>
    </xf>
    <xf numFmtId="0" fontId="24" fillId="0" borderId="3" xfId="10" applyFont="1" applyBorder="1" applyAlignment="1">
      <alignment wrapText="1"/>
    </xf>
    <xf numFmtId="168" fontId="25" fillId="0" borderId="4" xfId="11" applyNumberFormat="1" applyFont="1" applyFill="1" applyBorder="1" applyAlignment="1">
      <alignment wrapText="1"/>
    </xf>
    <xf numFmtId="0" fontId="27" fillId="0" borderId="3" xfId="0" applyFont="1" applyBorder="1"/>
    <xf numFmtId="166" fontId="27" fillId="0" borderId="8" xfId="12" applyNumberFormat="1" applyFont="1" applyFill="1" applyBorder="1"/>
    <xf numFmtId="168" fontId="24" fillId="0" borderId="11" xfId="11" applyNumberFormat="1" applyFont="1" applyFill="1" applyBorder="1"/>
    <xf numFmtId="168" fontId="25" fillId="0" borderId="6" xfId="11" applyNumberFormat="1" applyFont="1" applyFill="1" applyBorder="1"/>
    <xf numFmtId="168" fontId="24" fillId="0" borderId="4" xfId="11" applyNumberFormat="1" applyFont="1" applyFill="1" applyBorder="1"/>
    <xf numFmtId="166" fontId="24" fillId="0" borderId="4" xfId="1" applyNumberFormat="1" applyFont="1" applyFill="1" applyBorder="1"/>
    <xf numFmtId="164" fontId="24" fillId="0" borderId="4" xfId="11" applyNumberFormat="1" applyFont="1" applyFill="1" applyBorder="1"/>
    <xf numFmtId="168" fontId="25" fillId="0" borderId="0" xfId="0" applyNumberFormat="1" applyFont="1"/>
    <xf numFmtId="0" fontId="24" fillId="0" borderId="3" xfId="0" applyFont="1" applyBorder="1" applyAlignment="1">
      <alignment wrapText="1"/>
    </xf>
    <xf numFmtId="170" fontId="25" fillId="0" borderId="4" xfId="10" applyNumberFormat="1" applyFont="1" applyBorder="1" applyAlignment="1">
      <alignment horizontal="center"/>
    </xf>
    <xf numFmtId="171" fontId="25" fillId="0" borderId="4" xfId="11" applyNumberFormat="1" applyFont="1" applyFill="1" applyBorder="1"/>
    <xf numFmtId="0" fontId="27" fillId="0" borderId="22" xfId="10" applyFont="1" applyBorder="1"/>
    <xf numFmtId="168" fontId="27" fillId="0" borderId="22" xfId="11" applyNumberFormat="1" applyFont="1" applyFill="1" applyBorder="1"/>
    <xf numFmtId="43" fontId="25" fillId="0" borderId="8" xfId="11" applyNumberFormat="1" applyFont="1" applyFill="1" applyBorder="1"/>
    <xf numFmtId="0" fontId="27" fillId="0" borderId="0" xfId="0" applyFont="1"/>
    <xf numFmtId="165" fontId="26" fillId="0" borderId="22" xfId="3" applyFont="1" applyFill="1" applyBorder="1" applyAlignment="1">
      <alignment horizontal="center"/>
    </xf>
    <xf numFmtId="0" fontId="26" fillId="0" borderId="9" xfId="0" applyFont="1" applyBorder="1" applyAlignment="1">
      <alignment horizontal="center"/>
    </xf>
    <xf numFmtId="165" fontId="26" fillId="0" borderId="0" xfId="3" applyFont="1" applyFill="1" applyBorder="1" applyAlignment="1"/>
    <xf numFmtId="0" fontId="26" fillId="0" borderId="4" xfId="0" applyFont="1" applyBorder="1" applyAlignment="1">
      <alignment horizontal="center"/>
    </xf>
    <xf numFmtId="0" fontId="27" fillId="0" borderId="4" xfId="0" applyFont="1" applyBorder="1"/>
    <xf numFmtId="165" fontId="27" fillId="0" borderId="0" xfId="3" applyFont="1" applyFill="1" applyBorder="1" applyAlignment="1">
      <alignment horizontal="left" indent="1"/>
    </xf>
    <xf numFmtId="166" fontId="27" fillId="0" borderId="4" xfId="3" applyNumberFormat="1" applyFont="1" applyFill="1" applyBorder="1" applyAlignment="1">
      <alignment horizontal="right"/>
    </xf>
    <xf numFmtId="165" fontId="27" fillId="0" borderId="0" xfId="3" applyFont="1" applyFill="1" applyBorder="1" applyAlignment="1">
      <alignment horizontal="left" indent="2"/>
    </xf>
    <xf numFmtId="166" fontId="27" fillId="0" borderId="4" xfId="3" applyNumberFormat="1" applyFont="1" applyFill="1" applyBorder="1"/>
    <xf numFmtId="165" fontId="27" fillId="0" borderId="0" xfId="3" quotePrefix="1" applyFont="1" applyFill="1" applyBorder="1" applyAlignment="1">
      <alignment horizontal="left" indent="2"/>
    </xf>
    <xf numFmtId="165" fontId="26" fillId="0" borderId="0" xfId="3" applyFont="1" applyFill="1" applyBorder="1" applyAlignment="1">
      <alignment horizontal="left" indent="1"/>
    </xf>
    <xf numFmtId="166" fontId="26" fillId="0" borderId="11" xfId="3" applyNumberFormat="1" applyFont="1" applyFill="1" applyBorder="1" applyAlignment="1">
      <alignment horizontal="right"/>
    </xf>
    <xf numFmtId="166" fontId="27" fillId="0" borderId="11" xfId="3" applyNumberFormat="1" applyFont="1" applyFill="1" applyBorder="1" applyAlignment="1">
      <alignment horizontal="right"/>
    </xf>
    <xf numFmtId="166" fontId="26" fillId="0" borderId="10" xfId="3" applyNumberFormat="1" applyFont="1" applyFill="1" applyBorder="1" applyAlignment="1">
      <alignment horizontal="right"/>
    </xf>
    <xf numFmtId="165" fontId="27" fillId="0" borderId="0" xfId="3" applyFont="1" applyFill="1" applyBorder="1" applyAlignment="1"/>
    <xf numFmtId="0" fontId="26" fillId="0" borderId="4" xfId="0" applyFont="1" applyBorder="1" applyAlignment="1">
      <alignment horizontal="left" vertical="top" indent="1"/>
    </xf>
    <xf numFmtId="0" fontId="27" fillId="0" borderId="4" xfId="0" applyFont="1" applyBorder="1" applyAlignment="1">
      <alignment horizontal="left" vertical="top" indent="1"/>
    </xf>
    <xf numFmtId="166" fontId="27" fillId="0" borderId="4" xfId="3" applyNumberFormat="1" applyFont="1" applyFill="1" applyBorder="1" applyAlignment="1"/>
    <xf numFmtId="0" fontId="29" fillId="0" borderId="4" xfId="0" applyFont="1" applyBorder="1" applyAlignment="1">
      <alignment horizontal="left" vertical="top" indent="1"/>
    </xf>
    <xf numFmtId="166" fontId="26" fillId="0" borderId="4" xfId="3" applyNumberFormat="1" applyFont="1" applyFill="1" applyBorder="1" applyAlignment="1"/>
    <xf numFmtId="166" fontId="26" fillId="0" borderId="4" xfId="3" applyNumberFormat="1" applyFont="1" applyFill="1" applyBorder="1" applyAlignment="1">
      <alignment horizontal="right"/>
    </xf>
    <xf numFmtId="0" fontId="27" fillId="0" borderId="6" xfId="0" applyFont="1" applyBorder="1" applyAlignment="1">
      <alignment horizontal="left" vertical="top" indent="1"/>
    </xf>
    <xf numFmtId="0" fontId="27" fillId="0" borderId="9" xfId="0" applyFont="1" applyBorder="1" applyAlignment="1">
      <alignment horizontal="left" vertical="top" indent="1"/>
    </xf>
    <xf numFmtId="165" fontId="26" fillId="0" borderId="12" xfId="3" applyFont="1" applyFill="1" applyBorder="1" applyAlignment="1"/>
    <xf numFmtId="166" fontId="27" fillId="0" borderId="8" xfId="0" applyNumberFormat="1" applyFont="1" applyBorder="1" applyAlignment="1">
      <alignment horizontal="right"/>
    </xf>
    <xf numFmtId="0" fontId="24" fillId="0" borderId="9" xfId="0" applyFont="1" applyBorder="1"/>
    <xf numFmtId="0" fontId="25" fillId="0" borderId="4" xfId="17" applyFont="1" applyBorder="1" applyAlignment="1">
      <alignment wrapText="1"/>
    </xf>
    <xf numFmtId="168" fontId="25" fillId="0" borderId="4" xfId="16" applyNumberFormat="1" applyFont="1" applyFill="1" applyBorder="1"/>
    <xf numFmtId="0" fontId="24" fillId="0" borderId="4" xfId="17" applyFont="1" applyBorder="1"/>
    <xf numFmtId="0" fontId="25" fillId="0" borderId="4" xfId="17" applyFont="1" applyBorder="1"/>
    <xf numFmtId="0" fontId="25" fillId="0" borderId="0" xfId="17" applyFont="1"/>
    <xf numFmtId="168" fontId="29" fillId="0" borderId="4" xfId="16" applyNumberFormat="1" applyFont="1" applyFill="1" applyBorder="1"/>
    <xf numFmtId="168" fontId="25" fillId="0" borderId="6" xfId="16" applyNumberFormat="1" applyFont="1" applyFill="1" applyBorder="1"/>
    <xf numFmtId="168" fontId="25" fillId="0" borderId="9" xfId="0" applyNumberFormat="1" applyFont="1" applyBorder="1"/>
    <xf numFmtId="168" fontId="25" fillId="0" borderId="25" xfId="0" applyNumberFormat="1" applyFont="1" applyBorder="1"/>
    <xf numFmtId="168" fontId="25" fillId="0" borderId="24" xfId="0" applyNumberFormat="1" applyFont="1" applyBorder="1"/>
    <xf numFmtId="0" fontId="25" fillId="0" borderId="24" xfId="0" applyFont="1" applyBorder="1"/>
    <xf numFmtId="0" fontId="25" fillId="0" borderId="9" xfId="0" applyFont="1" applyBorder="1"/>
    <xf numFmtId="0" fontId="27" fillId="0" borderId="8" xfId="0" applyFont="1" applyBorder="1"/>
    <xf numFmtId="0" fontId="24" fillId="0" borderId="0" xfId="0" applyFont="1"/>
    <xf numFmtId="0" fontId="24" fillId="0" borderId="0" xfId="19" applyFont="1"/>
    <xf numFmtId="0" fontId="26" fillId="0" borderId="0" xfId="19" applyFont="1"/>
    <xf numFmtId="0" fontId="27" fillId="0" borderId="0" xfId="20" applyFont="1" applyAlignment="1">
      <alignment vertical="top" wrapText="1"/>
    </xf>
    <xf numFmtId="0" fontId="25" fillId="0" borderId="0" xfId="19" applyFont="1" applyAlignment="1">
      <alignment horizontal="justify" vertical="center"/>
    </xf>
    <xf numFmtId="0" fontId="24" fillId="0" borderId="0" xfId="19" applyFont="1" applyAlignment="1">
      <alignment wrapText="1"/>
    </xf>
    <xf numFmtId="0" fontId="25" fillId="0" borderId="0" xfId="19" applyFont="1" applyAlignment="1">
      <alignment vertical="center"/>
    </xf>
    <xf numFmtId="0" fontId="25" fillId="0" borderId="0" xfId="19" applyFont="1" applyAlignment="1">
      <alignment vertical="center" wrapText="1"/>
    </xf>
    <xf numFmtId="0" fontId="27" fillId="0" borderId="0" xfId="20" applyFont="1" applyAlignment="1">
      <alignment horizontal="justify" vertical="top" wrapText="1"/>
    </xf>
    <xf numFmtId="0" fontId="25" fillId="0" borderId="0" xfId="19" applyFont="1" applyAlignment="1">
      <alignment horizontal="justify" vertical="center" wrapText="1"/>
    </xf>
    <xf numFmtId="0" fontId="24" fillId="0" borderId="0" xfId="19" applyFont="1" applyAlignment="1">
      <alignment horizontal="justify" vertical="center"/>
    </xf>
    <xf numFmtId="0" fontId="24" fillId="0" borderId="0" xfId="19" applyFont="1" applyAlignment="1">
      <alignment vertical="center"/>
    </xf>
    <xf numFmtId="0" fontId="25" fillId="0" borderId="0" xfId="19" applyFont="1" applyAlignment="1">
      <alignment wrapText="1"/>
    </xf>
    <xf numFmtId="0" fontId="26" fillId="0" borderId="0" xfId="20" applyFont="1" applyAlignment="1">
      <alignment horizontal="left"/>
    </xf>
    <xf numFmtId="0" fontId="25" fillId="0" borderId="0" xfId="19" applyFont="1"/>
    <xf numFmtId="0" fontId="26" fillId="0" borderId="0" xfId="20" applyFont="1" applyAlignment="1">
      <alignment horizontal="justify"/>
    </xf>
    <xf numFmtId="166" fontId="25" fillId="0" borderId="0" xfId="1" applyNumberFormat="1" applyFont="1"/>
    <xf numFmtId="0" fontId="24" fillId="0" borderId="9" xfId="0" applyFont="1" applyBorder="1" applyAlignment="1">
      <alignment horizontal="right" wrapText="1"/>
    </xf>
    <xf numFmtId="0" fontId="24" fillId="0" borderId="9" xfId="17" applyFont="1" applyBorder="1" applyAlignment="1">
      <alignment horizontal="right"/>
    </xf>
    <xf numFmtId="0" fontId="24" fillId="0" borderId="0" xfId="0" applyFont="1" applyAlignment="1">
      <alignment vertical="center" wrapText="1"/>
    </xf>
    <xf numFmtId="0" fontId="27" fillId="0" borderId="3" xfId="7" applyFont="1" applyBorder="1"/>
    <xf numFmtId="166" fontId="26" fillId="0" borderId="0" xfId="26" applyNumberFormat="1" applyFont="1" applyFill="1" applyBorder="1"/>
    <xf numFmtId="0" fontId="27" fillId="0" borderId="0" xfId="25" applyFont="1"/>
    <xf numFmtId="166" fontId="26" fillId="0" borderId="0" xfId="26" applyNumberFormat="1" applyFont="1" applyFill="1" applyBorder="1" applyAlignment="1">
      <alignment horizontal="right"/>
    </xf>
    <xf numFmtId="0" fontId="26" fillId="0" borderId="0" xfId="26" applyNumberFormat="1" applyFont="1" applyFill="1" applyBorder="1" applyAlignment="1">
      <alignment horizontal="right"/>
    </xf>
    <xf numFmtId="0" fontId="26" fillId="0" borderId="9" xfId="25" applyFont="1" applyBorder="1" applyAlignment="1">
      <alignment horizontal="center" vertical="center"/>
    </xf>
    <xf numFmtId="166" fontId="26" fillId="0" borderId="9" xfId="2" applyNumberFormat="1" applyFont="1" applyFill="1" applyBorder="1" applyAlignment="1">
      <alignment horizontal="center" vertical="center" wrapText="1"/>
    </xf>
    <xf numFmtId="166" fontId="27" fillId="0" borderId="4" xfId="26" applyNumberFormat="1" applyFont="1" applyFill="1" applyBorder="1" applyAlignment="1">
      <alignment horizontal="left" indent="1"/>
    </xf>
    <xf numFmtId="0" fontId="26" fillId="0" borderId="9" xfId="25" applyFont="1" applyBorder="1" applyAlignment="1">
      <alignment horizontal="right"/>
    </xf>
    <xf numFmtId="166" fontId="26" fillId="0" borderId="9" xfId="26" applyNumberFormat="1" applyFont="1" applyFill="1" applyBorder="1"/>
    <xf numFmtId="166" fontId="27" fillId="0" borderId="0" xfId="26" applyNumberFormat="1" applyFont="1" applyFill="1" applyBorder="1"/>
    <xf numFmtId="164" fontId="27" fillId="0" borderId="4" xfId="26" applyNumberFormat="1" applyFont="1" applyFill="1" applyBorder="1" applyAlignment="1">
      <alignment horizontal="left"/>
    </xf>
    <xf numFmtId="0" fontId="27" fillId="0" borderId="3" xfId="25" applyFont="1" applyBorder="1"/>
    <xf numFmtId="166" fontId="27" fillId="0" borderId="4" xfId="26" quotePrefix="1" applyNumberFormat="1" applyFont="1" applyFill="1" applyBorder="1" applyAlignment="1">
      <alignment horizontal="left" indent="2"/>
    </xf>
    <xf numFmtId="166" fontId="27" fillId="0" borderId="4" xfId="26" applyNumberFormat="1" applyFont="1" applyFill="1" applyBorder="1"/>
    <xf numFmtId="0" fontId="27" fillId="0" borderId="3" xfId="25" applyFont="1" applyBorder="1" applyAlignment="1">
      <alignment horizontal="left" indent="1"/>
    </xf>
    <xf numFmtId="164" fontId="27" fillId="0" borderId="4" xfId="26" applyNumberFormat="1" applyFont="1" applyFill="1" applyBorder="1" applyAlignment="1">
      <alignment horizontal="left" indent="1"/>
    </xf>
    <xf numFmtId="0" fontId="27" fillId="0" borderId="3" xfId="0" applyFont="1" applyBorder="1" applyAlignment="1">
      <alignment horizontal="left" indent="1"/>
    </xf>
    <xf numFmtId="166" fontId="27" fillId="0" borderId="3" xfId="18" applyNumberFormat="1" applyFont="1" applyFill="1" applyBorder="1" applyAlignment="1">
      <alignment horizontal="left" indent="1"/>
    </xf>
    <xf numFmtId="0" fontId="27" fillId="0" borderId="3" xfId="25" applyFont="1" applyBorder="1" applyAlignment="1">
      <alignment horizontal="left" wrapText="1" indent="1"/>
    </xf>
    <xf numFmtId="166" fontId="27" fillId="0" borderId="3" xfId="18" applyNumberFormat="1" applyFont="1" applyFill="1" applyBorder="1" applyAlignment="1">
      <alignment horizontal="left" wrapText="1" indent="1"/>
    </xf>
    <xf numFmtId="0" fontId="27" fillId="0" borderId="3" xfId="22" applyFont="1" applyBorder="1" applyAlignment="1">
      <alignment horizontal="left" indent="1"/>
    </xf>
    <xf numFmtId="0" fontId="27" fillId="0" borderId="3" xfId="22" quotePrefix="1" applyFont="1" applyBorder="1" applyAlignment="1">
      <alignment horizontal="left" indent="1"/>
    </xf>
    <xf numFmtId="172" fontId="27" fillId="0" borderId="4" xfId="25" applyNumberFormat="1" applyFont="1" applyBorder="1" applyAlignment="1">
      <alignment horizontal="left" indent="1"/>
    </xf>
    <xf numFmtId="0" fontId="26" fillId="0" borderId="0" xfId="25" applyFont="1" applyAlignment="1">
      <alignment horizontal="right"/>
    </xf>
    <xf numFmtId="43" fontId="25" fillId="0" borderId="0" xfId="11" applyNumberFormat="1" applyFont="1" applyFill="1" applyAlignment="1">
      <alignment horizontal="right"/>
    </xf>
    <xf numFmtId="0" fontId="26" fillId="0" borderId="9" xfId="17" applyFont="1" applyBorder="1" applyAlignment="1">
      <alignment horizontal="center" wrapText="1"/>
    </xf>
    <xf numFmtId="165" fontId="26" fillId="0" borderId="9" xfId="15" applyNumberFormat="1" applyFont="1" applyFill="1" applyBorder="1" applyAlignment="1">
      <alignment horizontal="center"/>
    </xf>
    <xf numFmtId="0" fontId="26" fillId="0" borderId="3" xfId="17" applyFont="1" applyBorder="1" applyAlignment="1">
      <alignment horizontal="left"/>
    </xf>
    <xf numFmtId="0" fontId="27" fillId="0" borderId="3" xfId="17" applyFont="1" applyBorder="1" applyAlignment="1">
      <alignment horizontal="left"/>
    </xf>
    <xf numFmtId="164" fontId="27" fillId="0" borderId="6" xfId="15" applyNumberFormat="1" applyFont="1" applyFill="1" applyBorder="1"/>
    <xf numFmtId="164" fontId="27" fillId="0" borderId="4" xfId="15" applyNumberFormat="1" applyFont="1" applyFill="1" applyBorder="1"/>
    <xf numFmtId="164" fontId="27" fillId="0" borderId="8" xfId="15" applyNumberFormat="1" applyFont="1" applyFill="1" applyBorder="1"/>
    <xf numFmtId="164" fontId="26" fillId="0" borderId="9" xfId="15" applyNumberFormat="1" applyFont="1" applyFill="1" applyBorder="1"/>
    <xf numFmtId="0" fontId="28" fillId="0" borderId="0" xfId="17" applyFont="1" applyAlignment="1">
      <alignment horizontal="center" vertical="top"/>
    </xf>
    <xf numFmtId="0" fontId="31" fillId="0" borderId="0" xfId="17" applyFont="1" applyAlignment="1">
      <alignment horizontal="center" vertical="top"/>
    </xf>
    <xf numFmtId="0" fontId="31" fillId="0" borderId="0" xfId="17" applyFont="1"/>
    <xf numFmtId="0" fontId="24" fillId="0" borderId="0" xfId="17" applyFont="1" applyAlignment="1">
      <alignment horizontal="left" vertical="top"/>
    </xf>
    <xf numFmtId="0" fontId="31" fillId="0" borderId="9" xfId="17" applyFont="1" applyBorder="1" applyAlignment="1">
      <alignment horizontal="center" vertical="top" wrapText="1"/>
    </xf>
    <xf numFmtId="0" fontId="31" fillId="0" borderId="9" xfId="17" applyFont="1" applyBorder="1" applyAlignment="1">
      <alignment horizontal="center" vertical="top"/>
    </xf>
    <xf numFmtId="164" fontId="25" fillId="0" borderId="0" xfId="0" applyNumberFormat="1" applyFont="1"/>
    <xf numFmtId="0" fontId="28" fillId="0" borderId="0" xfId="17" applyFont="1" applyAlignment="1">
      <alignment vertical="top"/>
    </xf>
    <xf numFmtId="0" fontId="28" fillId="0" borderId="0" xfId="17" applyFont="1"/>
    <xf numFmtId="164" fontId="28" fillId="0" borderId="0" xfId="17" applyNumberFormat="1" applyFont="1" applyAlignment="1">
      <alignment vertical="top"/>
    </xf>
    <xf numFmtId="2" fontId="28" fillId="0" borderId="0" xfId="17" applyNumberFormat="1" applyFont="1"/>
    <xf numFmtId="0" fontId="26" fillId="0" borderId="24" xfId="0" applyFont="1" applyBorder="1" applyAlignment="1">
      <alignment horizontal="left" vertical="center"/>
    </xf>
    <xf numFmtId="165" fontId="26" fillId="0" borderId="4" xfId="15" applyNumberFormat="1" applyFont="1" applyFill="1" applyBorder="1" applyAlignment="1">
      <alignment horizontal="center" vertical="center" wrapText="1"/>
    </xf>
    <xf numFmtId="0" fontId="28" fillId="0" borderId="0" xfId="0" applyFont="1" applyAlignment="1">
      <alignment vertical="top"/>
    </xf>
    <xf numFmtId="0" fontId="26" fillId="0" borderId="24" xfId="0" quotePrefix="1" applyFont="1" applyBorder="1" applyAlignment="1">
      <alignment horizontal="right"/>
    </xf>
    <xf numFmtId="164" fontId="25" fillId="0" borderId="4" xfId="11" applyNumberFormat="1" applyFont="1" applyFill="1" applyBorder="1"/>
    <xf numFmtId="0" fontId="24" fillId="0" borderId="0" xfId="28" applyFont="1"/>
    <xf numFmtId="0" fontId="25" fillId="0" borderId="0" xfId="28" applyFont="1"/>
    <xf numFmtId="0" fontId="26" fillId="0" borderId="0" xfId="28" applyFont="1"/>
    <xf numFmtId="166" fontId="26" fillId="0" borderId="0" xfId="16" applyNumberFormat="1" applyFont="1" applyFill="1" applyBorder="1"/>
    <xf numFmtId="0" fontId="24" fillId="0" borderId="22" xfId="0" applyFont="1" applyBorder="1"/>
    <xf numFmtId="0" fontId="25" fillId="0" borderId="25" xfId="0" applyFont="1" applyBorder="1"/>
    <xf numFmtId="0" fontId="25" fillId="0" borderId="5" xfId="0" applyFont="1" applyBorder="1"/>
    <xf numFmtId="0" fontId="25" fillId="0" borderId="7" xfId="0" applyFont="1" applyBorder="1"/>
    <xf numFmtId="0" fontId="25" fillId="0" borderId="25" xfId="0" applyFont="1" applyBorder="1" applyAlignment="1">
      <alignment horizontal="center"/>
    </xf>
    <xf numFmtId="0" fontId="25" fillId="0" borderId="7" xfId="0" applyFont="1" applyBorder="1" applyAlignment="1">
      <alignment horizontal="center"/>
    </xf>
    <xf numFmtId="0" fontId="25" fillId="0" borderId="1" xfId="0" applyFont="1" applyBorder="1"/>
    <xf numFmtId="0" fontId="25" fillId="0" borderId="23" xfId="0" applyFont="1" applyBorder="1"/>
    <xf numFmtId="0" fontId="25" fillId="0" borderId="2" xfId="0" applyFont="1" applyBorder="1"/>
    <xf numFmtId="0" fontId="25" fillId="0" borderId="12" xfId="28" applyFont="1" applyBorder="1"/>
    <xf numFmtId="168" fontId="25" fillId="0" borderId="12" xfId="28" applyNumberFormat="1" applyFont="1" applyBorder="1"/>
    <xf numFmtId="0" fontId="26" fillId="0" borderId="12" xfId="26" applyNumberFormat="1" applyFont="1" applyFill="1" applyBorder="1" applyAlignment="1">
      <alignment horizontal="right"/>
    </xf>
    <xf numFmtId="0" fontId="26" fillId="0" borderId="11" xfId="28" applyFont="1" applyBorder="1" applyAlignment="1">
      <alignment horizontal="center" vertical="top" wrapText="1"/>
    </xf>
    <xf numFmtId="175" fontId="26" fillId="0" borderId="6" xfId="28" applyNumberFormat="1" applyFont="1" applyBorder="1" applyAlignment="1">
      <alignment horizontal="center" vertical="top" wrapText="1"/>
    </xf>
    <xf numFmtId="0" fontId="25" fillId="0" borderId="4" xfId="28" applyFont="1" applyBorder="1"/>
    <xf numFmtId="168" fontId="25" fillId="0" borderId="4" xfId="28" applyNumberFormat="1" applyFont="1" applyBorder="1"/>
    <xf numFmtId="168" fontId="25" fillId="0" borderId="4" xfId="28" applyNumberFormat="1" applyFont="1" applyBorder="1" applyAlignment="1">
      <alignment horizontal="right"/>
    </xf>
    <xf numFmtId="0" fontId="24" fillId="0" borderId="4" xfId="28" applyFont="1" applyBorder="1"/>
    <xf numFmtId="164" fontId="25" fillId="0" borderId="4" xfId="28" applyNumberFormat="1" applyFont="1" applyBorder="1" applyAlignment="1">
      <alignment horizontal="right"/>
    </xf>
    <xf numFmtId="166" fontId="25" fillId="0" borderId="0" xfId="28" applyNumberFormat="1" applyFont="1"/>
    <xf numFmtId="0" fontId="25" fillId="0" borderId="6" xfId="28" applyFont="1" applyBorder="1"/>
    <xf numFmtId="168" fontId="25" fillId="0" borderId="6" xfId="28" applyNumberFormat="1" applyFont="1" applyBorder="1"/>
    <xf numFmtId="164" fontId="25" fillId="0" borderId="6" xfId="28" applyNumberFormat="1" applyFont="1" applyBorder="1" applyAlignment="1">
      <alignment horizontal="right"/>
    </xf>
    <xf numFmtId="0" fontId="26" fillId="0" borderId="0" xfId="0" applyFont="1"/>
    <xf numFmtId="0" fontId="24" fillId="0" borderId="24" xfId="0" applyFont="1" applyBorder="1"/>
    <xf numFmtId="0" fontId="25" fillId="0" borderId="24" xfId="0" applyFont="1" applyBorder="1" applyAlignment="1">
      <alignment wrapText="1"/>
    </xf>
    <xf numFmtId="164" fontId="25" fillId="0" borderId="9" xfId="0" applyNumberFormat="1" applyFont="1" applyBorder="1"/>
    <xf numFmtId="165" fontId="25" fillId="0" borderId="9" xfId="0" applyNumberFormat="1" applyFont="1" applyBorder="1"/>
    <xf numFmtId="165" fontId="25" fillId="0" borderId="0" xfId="19" applyNumberFormat="1" applyFont="1"/>
    <xf numFmtId="0" fontId="25" fillId="0" borderId="0" xfId="19" applyFont="1" applyAlignment="1">
      <alignment vertical="top" wrapText="1"/>
    </xf>
    <xf numFmtId="0" fontId="27" fillId="0" borderId="0" xfId="19" applyFont="1" applyAlignment="1">
      <alignment horizontal="left" vertical="top"/>
    </xf>
    <xf numFmtId="0" fontId="27" fillId="0" borderId="0" xfId="19" applyFont="1" applyAlignment="1">
      <alignment horizontal="left" vertical="top" wrapText="1"/>
    </xf>
    <xf numFmtId="0" fontId="24" fillId="0" borderId="0" xfId="19" applyFont="1" applyAlignment="1">
      <alignment horizontal="left" vertical="top"/>
    </xf>
    <xf numFmtId="0" fontId="24" fillId="0" borderId="0" xfId="19" applyFont="1" applyAlignment="1">
      <alignment horizontal="left" vertical="top" wrapText="1"/>
    </xf>
    <xf numFmtId="0" fontId="24" fillId="0" borderId="0" xfId="19" applyFont="1" applyAlignment="1">
      <alignment horizontal="left"/>
    </xf>
    <xf numFmtId="0" fontId="24" fillId="0" borderId="0" xfId="19" applyFont="1" applyAlignment="1">
      <alignment horizontal="left" wrapText="1"/>
    </xf>
    <xf numFmtId="0" fontId="25" fillId="0" borderId="0" xfId="19" applyFont="1" applyAlignment="1">
      <alignment horizontal="left" wrapText="1"/>
    </xf>
    <xf numFmtId="0" fontId="27" fillId="0" borderId="0" xfId="19" applyFont="1" applyAlignment="1">
      <alignment vertical="top" wrapText="1"/>
    </xf>
    <xf numFmtId="0" fontId="26" fillId="0" borderId="0" xfId="19" applyFont="1" applyAlignment="1">
      <alignment vertical="top"/>
    </xf>
    <xf numFmtId="0" fontId="28" fillId="0" borderId="0" xfId="0" applyFont="1"/>
    <xf numFmtId="164" fontId="28" fillId="0" borderId="0" xfId="0" applyNumberFormat="1" applyFont="1"/>
    <xf numFmtId="168" fontId="28" fillId="0" borderId="0" xfId="1" applyNumberFormat="1" applyFont="1"/>
    <xf numFmtId="0" fontId="26" fillId="0" borderId="0" xfId="29" applyFont="1" applyAlignment="1">
      <alignment horizontal="left"/>
    </xf>
    <xf numFmtId="0" fontId="27" fillId="0" borderId="0" xfId="29" applyFont="1"/>
    <xf numFmtId="0" fontId="26" fillId="0" borderId="0" xfId="29" applyFont="1"/>
    <xf numFmtId="164" fontId="26" fillId="0" borderId="0" xfId="30" applyNumberFormat="1" applyFont="1" applyAlignment="1">
      <alignment horizontal="left" vertical="center"/>
    </xf>
    <xf numFmtId="0" fontId="33" fillId="0" borderId="0" xfId="29" quotePrefix="1" applyFont="1" applyAlignment="1">
      <alignment horizontal="center"/>
    </xf>
    <xf numFmtId="0" fontId="33" fillId="0" borderId="0" xfId="29" applyFont="1"/>
    <xf numFmtId="164" fontId="34" fillId="0" borderId="0" xfId="30" quotePrefix="1" applyNumberFormat="1" applyFont="1" applyAlignment="1">
      <alignment horizontal="right"/>
    </xf>
    <xf numFmtId="0" fontId="25" fillId="0" borderId="9" xfId="0" applyFont="1" applyBorder="1" applyAlignment="1">
      <alignment horizontal="center"/>
    </xf>
    <xf numFmtId="166" fontId="25" fillId="0" borderId="9" xfId="3" applyNumberFormat="1" applyFont="1" applyBorder="1"/>
    <xf numFmtId="166" fontId="24" fillId="0" borderId="9" xfId="3" applyNumberFormat="1" applyFont="1" applyBorder="1"/>
    <xf numFmtId="168" fontId="25" fillId="0" borderId="9" xfId="1" applyNumberFormat="1" applyFont="1" applyBorder="1"/>
    <xf numFmtId="164" fontId="27" fillId="0" borderId="0" xfId="29" applyNumberFormat="1" applyFont="1"/>
    <xf numFmtId="164" fontId="27" fillId="0" borderId="0" xfId="30" applyNumberFormat="1" applyFont="1" applyAlignment="1">
      <alignment horizontal="right"/>
    </xf>
    <xf numFmtId="166" fontId="27" fillId="0" borderId="9" xfId="3" applyNumberFormat="1" applyFont="1" applyBorder="1"/>
    <xf numFmtId="0" fontId="33" fillId="0" borderId="0" xfId="29" quotePrefix="1" applyFont="1" applyAlignment="1">
      <alignment horizontal="left"/>
    </xf>
    <xf numFmtId="14" fontId="25" fillId="0" borderId="9" xfId="0" quotePrefix="1" applyNumberFormat="1" applyFont="1" applyBorder="1"/>
    <xf numFmtId="164" fontId="27" fillId="0" borderId="0" xfId="31" applyNumberFormat="1" applyFont="1" applyAlignment="1">
      <alignment horizontal="right"/>
    </xf>
    <xf numFmtId="0" fontId="27" fillId="0" borderId="0" xfId="29" quotePrefix="1" applyFont="1" applyAlignment="1">
      <alignment horizontal="left"/>
    </xf>
    <xf numFmtId="164" fontId="27" fillId="0" borderId="12" xfId="31" applyNumberFormat="1" applyFont="1" applyBorder="1" applyAlignment="1">
      <alignment horizontal="right"/>
    </xf>
    <xf numFmtId="0" fontId="26" fillId="0" borderId="0" xfId="29" applyFont="1" applyAlignment="1">
      <alignment horizontal="right"/>
    </xf>
    <xf numFmtId="164" fontId="26" fillId="0" borderId="22" xfId="30" applyNumberFormat="1" applyFont="1" applyBorder="1" applyAlignment="1">
      <alignment horizontal="right"/>
    </xf>
    <xf numFmtId="164" fontId="26" fillId="0" borderId="0" xfId="30" applyNumberFormat="1" applyFont="1" applyAlignment="1">
      <alignment horizontal="right"/>
    </xf>
    <xf numFmtId="0" fontId="25" fillId="0" borderId="0" xfId="0" applyFont="1" applyAlignment="1">
      <alignment horizontal="center"/>
    </xf>
    <xf numFmtId="166" fontId="25" fillId="0" borderId="0" xfId="3" applyNumberFormat="1" applyFont="1"/>
    <xf numFmtId="164" fontId="26" fillId="7" borderId="0" xfId="30" applyNumberFormat="1" applyFont="1" applyFill="1" applyAlignment="1">
      <alignment horizontal="right"/>
    </xf>
    <xf numFmtId="164" fontId="26" fillId="0" borderId="28" xfId="30" applyNumberFormat="1" applyFont="1" applyBorder="1" applyAlignment="1">
      <alignment horizontal="right"/>
    </xf>
    <xf numFmtId="0" fontId="34" fillId="0" borderId="0" xfId="29" quotePrefix="1" applyFont="1" applyAlignment="1">
      <alignment horizontal="left"/>
    </xf>
    <xf numFmtId="164" fontId="27" fillId="0" borderId="12" xfId="30" applyNumberFormat="1" applyFont="1" applyBorder="1" applyAlignment="1">
      <alignment horizontal="right"/>
    </xf>
    <xf numFmtId="0" fontId="33" fillId="0" borderId="0" xfId="29" applyFont="1" applyAlignment="1">
      <alignment horizontal="left"/>
    </xf>
    <xf numFmtId="0" fontId="27" fillId="0" borderId="0" xfId="29" applyFont="1" applyAlignment="1">
      <alignment horizontal="left"/>
    </xf>
    <xf numFmtId="164" fontId="35" fillId="0" borderId="0" xfId="30" applyNumberFormat="1" applyFont="1" applyAlignment="1">
      <alignment horizontal="right"/>
    </xf>
    <xf numFmtId="164" fontId="26" fillId="0" borderId="12" xfId="30" applyNumberFormat="1" applyFont="1" applyBorder="1" applyAlignment="1">
      <alignment horizontal="right"/>
    </xf>
    <xf numFmtId="0" fontId="27" fillId="7" borderId="0" xfId="29" quotePrefix="1" applyFont="1" applyFill="1" applyAlignment="1">
      <alignment horizontal="left"/>
    </xf>
    <xf numFmtId="0" fontId="28" fillId="7" borderId="0" xfId="0" applyFont="1" applyFill="1"/>
    <xf numFmtId="164" fontId="27" fillId="7" borderId="0" xfId="29" applyNumberFormat="1" applyFont="1" applyFill="1"/>
    <xf numFmtId="164" fontId="27" fillId="7" borderId="0" xfId="30" applyNumberFormat="1" applyFont="1" applyFill="1" applyAlignment="1">
      <alignment horizontal="right"/>
    </xf>
    <xf numFmtId="0" fontId="31" fillId="0" borderId="0" xfId="0" applyFont="1"/>
    <xf numFmtId="165" fontId="28" fillId="0" borderId="0" xfId="0" applyNumberFormat="1" applyFont="1"/>
    <xf numFmtId="168" fontId="27" fillId="0" borderId="12" xfId="30" applyNumberFormat="1" applyFont="1" applyBorder="1" applyAlignment="1">
      <alignment horizontal="right"/>
    </xf>
    <xf numFmtId="164" fontId="26" fillId="0" borderId="0" xfId="30" applyNumberFormat="1" applyFont="1" applyAlignment="1">
      <alignment horizontal="left" vertical="center" wrapText="1"/>
    </xf>
    <xf numFmtId="164" fontId="35" fillId="0" borderId="12" xfId="30" applyNumberFormat="1" applyFont="1" applyBorder="1" applyAlignment="1">
      <alignment horizontal="right"/>
    </xf>
    <xf numFmtId="0" fontId="27" fillId="0" borderId="0" xfId="29" applyFont="1" applyAlignment="1">
      <alignment horizontal="right"/>
    </xf>
    <xf numFmtId="0" fontId="24" fillId="0" borderId="0" xfId="10" applyFont="1" applyAlignment="1">
      <alignment wrapText="1"/>
    </xf>
    <xf numFmtId="0" fontId="24" fillId="0" borderId="0" xfId="0" applyFont="1" applyAlignment="1">
      <alignment wrapText="1"/>
    </xf>
    <xf numFmtId="170" fontId="24" fillId="0" borderId="25" xfId="11" quotePrefix="1" applyNumberFormat="1" applyFont="1" applyFill="1" applyBorder="1" applyAlignment="1">
      <alignment horizontal="right"/>
    </xf>
    <xf numFmtId="0" fontId="25" fillId="0" borderId="11" xfId="10" applyFont="1" applyBorder="1" applyAlignment="1">
      <alignment horizontal="center" wrapText="1"/>
    </xf>
    <xf numFmtId="165" fontId="26" fillId="0" borderId="24" xfId="3" applyFont="1" applyFill="1" applyBorder="1" applyAlignment="1">
      <alignment horizontal="center"/>
    </xf>
    <xf numFmtId="165" fontId="26" fillId="0" borderId="3" xfId="3" applyFont="1" applyFill="1" applyBorder="1" applyAlignment="1"/>
    <xf numFmtId="165" fontId="27" fillId="0" borderId="3" xfId="3" applyFont="1" applyFill="1" applyBorder="1" applyAlignment="1">
      <alignment horizontal="left" indent="1"/>
    </xf>
    <xf numFmtId="165" fontId="26" fillId="0" borderId="3" xfId="3" applyFont="1" applyFill="1" applyBorder="1" applyAlignment="1">
      <alignment horizontal="left" indent="1"/>
    </xf>
    <xf numFmtId="165" fontId="27" fillId="0" borderId="3" xfId="3" applyFont="1" applyFill="1" applyBorder="1" applyAlignment="1"/>
    <xf numFmtId="165" fontId="26" fillId="0" borderId="5" xfId="3" applyFont="1" applyFill="1" applyBorder="1" applyAlignment="1"/>
    <xf numFmtId="166" fontId="27" fillId="0" borderId="8" xfId="3" applyNumberFormat="1" applyFont="1" applyFill="1" applyBorder="1"/>
    <xf numFmtId="166" fontId="25" fillId="0" borderId="8" xfId="3" applyNumberFormat="1" applyFont="1" applyFill="1" applyBorder="1"/>
    <xf numFmtId="0" fontId="25" fillId="0" borderId="8" xfId="0" applyFont="1" applyBorder="1"/>
    <xf numFmtId="166" fontId="27" fillId="0" borderId="12" xfId="3" applyNumberFormat="1" applyFont="1" applyFill="1" applyBorder="1" applyAlignment="1"/>
    <xf numFmtId="43" fontId="25" fillId="0" borderId="7" xfId="11" applyNumberFormat="1" applyFont="1" applyFill="1" applyBorder="1"/>
    <xf numFmtId="0" fontId="38" fillId="0" borderId="0" xfId="0" applyFont="1"/>
    <xf numFmtId="166" fontId="37" fillId="0" borderId="4" xfId="1" applyNumberFormat="1" applyFont="1" applyFill="1" applyBorder="1"/>
    <xf numFmtId="168" fontId="38" fillId="0" borderId="0" xfId="0" applyNumberFormat="1" applyFont="1"/>
    <xf numFmtId="0" fontId="25" fillId="0" borderId="0" xfId="0" applyFont="1" applyAlignment="1">
      <alignment vertical="center" wrapText="1"/>
    </xf>
    <xf numFmtId="0" fontId="24" fillId="0" borderId="3" xfId="10" applyFont="1" applyBorder="1" applyAlignment="1">
      <alignment horizontal="center"/>
    </xf>
    <xf numFmtId="0" fontId="24" fillId="0" borderId="3" xfId="0" applyFont="1" applyBorder="1" applyAlignment="1">
      <alignment horizontal="center" wrapText="1"/>
    </xf>
    <xf numFmtId="0" fontId="38" fillId="0" borderId="4" xfId="17" applyFont="1" applyBorder="1" applyAlignment="1">
      <alignment wrapText="1"/>
    </xf>
    <xf numFmtId="0" fontId="37" fillId="0" borderId="4" xfId="17" applyFont="1" applyBorder="1"/>
    <xf numFmtId="0" fontId="38" fillId="0" borderId="4" xfId="17" applyFont="1" applyBorder="1"/>
    <xf numFmtId="166" fontId="38" fillId="0" borderId="0" xfId="1" applyNumberFormat="1" applyFont="1" applyFill="1"/>
    <xf numFmtId="0" fontId="38" fillId="0" borderId="0" xfId="17" applyFont="1"/>
    <xf numFmtId="0" fontId="39" fillId="0" borderId="8" xfId="0" applyFont="1" applyBorder="1"/>
    <xf numFmtId="166" fontId="38" fillId="0" borderId="0" xfId="0" applyNumberFormat="1" applyFont="1"/>
    <xf numFmtId="0" fontId="25" fillId="0" borderId="4" xfId="0" applyFont="1" applyBorder="1" applyAlignment="1">
      <alignment horizontal="center"/>
    </xf>
    <xf numFmtId="0" fontId="25" fillId="0" borderId="3" xfId="0" applyFont="1" applyBorder="1" applyAlignment="1">
      <alignment vertical="center"/>
    </xf>
    <xf numFmtId="0" fontId="25" fillId="0" borderId="0" xfId="0" applyFont="1" applyAlignment="1">
      <alignment vertical="center"/>
    </xf>
    <xf numFmtId="0" fontId="25" fillId="0" borderId="8" xfId="0" applyFont="1" applyBorder="1" applyAlignment="1">
      <alignment vertical="center" wrapText="1"/>
    </xf>
    <xf numFmtId="0" fontId="25" fillId="0" borderId="8" xfId="0" applyFont="1" applyBorder="1" applyAlignment="1">
      <alignment horizontal="center" vertical="center" wrapText="1"/>
    </xf>
    <xf numFmtId="0" fontId="25" fillId="0" borderId="3" xfId="0" applyFont="1" applyBorder="1" applyAlignment="1">
      <alignment vertical="center" wrapText="1"/>
    </xf>
    <xf numFmtId="165" fontId="26" fillId="0" borderId="0" xfId="3" applyFont="1" applyFill="1" applyBorder="1" applyAlignment="1">
      <alignment horizontal="left" indent="2"/>
    </xf>
    <xf numFmtId="166" fontId="26" fillId="0" borderId="4" xfId="3" applyNumberFormat="1" applyFont="1" applyFill="1" applyBorder="1"/>
    <xf numFmtId="165" fontId="25" fillId="0" borderId="4" xfId="1" applyFont="1" applyBorder="1" applyAlignment="1">
      <alignment horizontal="center" vertical="center" wrapText="1"/>
    </xf>
    <xf numFmtId="165" fontId="25" fillId="0" borderId="8" xfId="1" applyFont="1" applyBorder="1" applyAlignment="1">
      <alignment horizontal="center" vertical="center" wrapText="1"/>
    </xf>
    <xf numFmtId="165" fontId="26" fillId="0" borderId="3" xfId="3" applyFont="1" applyFill="1" applyBorder="1" applyAlignment="1">
      <alignment horizontal="left" indent="2"/>
    </xf>
    <xf numFmtId="0" fontId="24" fillId="0" borderId="3" xfId="0" applyFont="1" applyBorder="1" applyAlignment="1">
      <alignment vertical="center" wrapText="1"/>
    </xf>
    <xf numFmtId="165" fontId="26" fillId="0" borderId="0" xfId="3" quotePrefix="1" applyFont="1" applyFill="1" applyBorder="1" applyAlignment="1">
      <alignment horizontal="left" indent="2"/>
    </xf>
    <xf numFmtId="168" fontId="24" fillId="0" borderId="4" xfId="16" applyNumberFormat="1" applyFont="1" applyFill="1" applyBorder="1"/>
    <xf numFmtId="165" fontId="30" fillId="0" borderId="3" xfId="3" quotePrefix="1" applyFont="1" applyFill="1" applyBorder="1" applyAlignment="1">
      <alignment horizontal="left" indent="2"/>
    </xf>
    <xf numFmtId="166" fontId="26" fillId="0" borderId="9" xfId="3" applyNumberFormat="1" applyFont="1" applyFill="1" applyBorder="1" applyAlignment="1">
      <alignment horizontal="right"/>
    </xf>
    <xf numFmtId="165" fontId="27" fillId="0" borderId="4" xfId="1" applyFont="1" applyFill="1" applyBorder="1" applyAlignment="1">
      <alignment horizontal="right"/>
    </xf>
    <xf numFmtId="166" fontId="26" fillId="0" borderId="9" xfId="3" applyNumberFormat="1" applyFont="1" applyFill="1" applyBorder="1" applyAlignment="1"/>
    <xf numFmtId="165" fontId="29" fillId="0" borderId="3" xfId="3" applyFont="1" applyFill="1" applyBorder="1" applyAlignment="1"/>
    <xf numFmtId="165" fontId="29" fillId="0" borderId="0" xfId="3" applyFont="1" applyFill="1" applyBorder="1" applyAlignment="1">
      <alignment horizontal="left" indent="2"/>
    </xf>
    <xf numFmtId="166" fontId="29" fillId="0" borderId="4" xfId="3" applyNumberFormat="1" applyFont="1" applyFill="1" applyBorder="1" applyAlignment="1">
      <alignment horizontal="right"/>
    </xf>
    <xf numFmtId="0" fontId="37" fillId="0" borderId="10" xfId="0" applyFont="1" applyBorder="1"/>
    <xf numFmtId="165" fontId="26" fillId="0" borderId="1" xfId="3" applyFont="1" applyFill="1" applyBorder="1" applyAlignment="1"/>
    <xf numFmtId="165" fontId="26" fillId="0" borderId="23" xfId="3" applyFont="1" applyFill="1" applyBorder="1" applyAlignment="1"/>
    <xf numFmtId="166" fontId="27" fillId="0" borderId="11" xfId="3" applyNumberFormat="1" applyFont="1" applyFill="1" applyBorder="1" applyAlignment="1"/>
    <xf numFmtId="0" fontId="25" fillId="0" borderId="3" xfId="0" applyFont="1" applyBorder="1" applyAlignment="1">
      <alignment wrapText="1"/>
    </xf>
    <xf numFmtId="0" fontId="37" fillId="0" borderId="0" xfId="0" applyFont="1" applyAlignment="1">
      <alignment vertical="center" wrapText="1"/>
    </xf>
    <xf numFmtId="0" fontId="38" fillId="0" borderId="0" xfId="0" applyFont="1" applyAlignment="1">
      <alignment vertical="center" wrapText="1"/>
    </xf>
    <xf numFmtId="0" fontId="37" fillId="0" borderId="12" xfId="0" applyFont="1" applyBorder="1" applyAlignment="1">
      <alignment vertical="center" wrapText="1"/>
    </xf>
    <xf numFmtId="165" fontId="26" fillId="0" borderId="3" xfId="3" applyFont="1" applyFill="1" applyBorder="1" applyAlignment="1">
      <alignment wrapText="1"/>
    </xf>
    <xf numFmtId="0" fontId="25" fillId="0" borderId="3" xfId="0" applyFont="1" applyBorder="1" applyAlignment="1">
      <alignment horizontal="center"/>
    </xf>
    <xf numFmtId="0" fontId="25" fillId="0" borderId="8" xfId="0" applyFont="1" applyBorder="1" applyAlignment="1">
      <alignment vertical="center"/>
    </xf>
    <xf numFmtId="165" fontId="25" fillId="0" borderId="4" xfId="1" applyFont="1" applyBorder="1" applyAlignment="1">
      <alignment vertical="center" wrapText="1"/>
    </xf>
    <xf numFmtId="0" fontId="25" fillId="0" borderId="3" xfId="0" applyFont="1" applyBorder="1"/>
    <xf numFmtId="165" fontId="25" fillId="0" borderId="4" xfId="1" applyFont="1" applyBorder="1"/>
    <xf numFmtId="0" fontId="25" fillId="0" borderId="5" xfId="0" applyFont="1" applyBorder="1" applyAlignment="1">
      <alignment horizontal="center"/>
    </xf>
    <xf numFmtId="0" fontId="24" fillId="0" borderId="5" xfId="0" applyFont="1" applyBorder="1" applyAlignment="1">
      <alignment vertical="center" wrapText="1"/>
    </xf>
    <xf numFmtId="0" fontId="24" fillId="0" borderId="12" xfId="0" applyFont="1" applyBorder="1" applyAlignment="1">
      <alignment vertical="center" wrapText="1"/>
    </xf>
    <xf numFmtId="166" fontId="26" fillId="0" borderId="0" xfId="3" applyNumberFormat="1" applyFont="1" applyFill="1" applyBorder="1" applyAlignment="1">
      <alignment horizontal="right"/>
    </xf>
    <xf numFmtId="165" fontId="26" fillId="0" borderId="24" xfId="3" applyFont="1" applyFill="1" applyBorder="1" applyAlignment="1"/>
    <xf numFmtId="165" fontId="26" fillId="0" borderId="22" xfId="3" applyFont="1" applyFill="1" applyBorder="1" applyAlignment="1"/>
    <xf numFmtId="0" fontId="27" fillId="0" borderId="0" xfId="27" applyFont="1"/>
    <xf numFmtId="0" fontId="27" fillId="0" borderId="3" xfId="27" applyFont="1" applyBorder="1"/>
    <xf numFmtId="0" fontId="27" fillId="0" borderId="11" xfId="27" applyFont="1" applyBorder="1"/>
    <xf numFmtId="0" fontId="27" fillId="0" borderId="4" xfId="27" applyFont="1" applyBorder="1"/>
    <xf numFmtId="166" fontId="27" fillId="0" borderId="0" xfId="3" applyNumberFormat="1" applyFont="1" applyBorder="1"/>
    <xf numFmtId="166" fontId="27" fillId="0" borderId="4" xfId="3" applyNumberFormat="1" applyFont="1" applyBorder="1"/>
    <xf numFmtId="166" fontId="27" fillId="0" borderId="4" xfId="27" applyNumberFormat="1" applyFont="1" applyBorder="1"/>
    <xf numFmtId="166" fontId="27" fillId="0" borderId="6" xfId="3" applyNumberFormat="1" applyFont="1" applyBorder="1"/>
    <xf numFmtId="166" fontId="27" fillId="0" borderId="22" xfId="3" applyNumberFormat="1" applyFont="1" applyBorder="1"/>
    <xf numFmtId="166" fontId="27" fillId="0" borderId="0" xfId="27" applyNumberFormat="1" applyFont="1"/>
    <xf numFmtId="0" fontId="26" fillId="0" borderId="0" xfId="27" applyFont="1"/>
    <xf numFmtId="0" fontId="38" fillId="0" borderId="0" xfId="0" applyFont="1" applyAlignment="1">
      <alignment vertical="center"/>
    </xf>
    <xf numFmtId="0" fontId="37" fillId="0" borderId="0" xfId="0" applyFont="1" applyAlignment="1">
      <alignment vertical="center"/>
    </xf>
    <xf numFmtId="0" fontId="38" fillId="0" borderId="0" xfId="0" applyFont="1" applyAlignment="1">
      <alignment horizontal="left" wrapText="1"/>
    </xf>
    <xf numFmtId="0" fontId="38" fillId="0" borderId="9" xfId="0" applyFont="1" applyBorder="1"/>
    <xf numFmtId="0" fontId="38" fillId="0" borderId="9" xfId="0" applyFont="1" applyBorder="1" applyAlignment="1">
      <alignment vertical="center"/>
    </xf>
    <xf numFmtId="166" fontId="38" fillId="0" borderId="9" xfId="1" applyNumberFormat="1" applyFont="1" applyBorder="1"/>
    <xf numFmtId="0" fontId="37" fillId="0" borderId="0" xfId="0" applyFont="1" applyAlignment="1">
      <alignment horizontal="left" vertical="center"/>
    </xf>
    <xf numFmtId="0" fontId="38" fillId="0" borderId="0" xfId="0" applyFont="1" applyAlignment="1">
      <alignment horizontal="right"/>
    </xf>
    <xf numFmtId="0" fontId="37" fillId="0" borderId="0" xfId="0" applyFont="1" applyAlignment="1">
      <alignment horizontal="right" vertical="center"/>
    </xf>
    <xf numFmtId="0" fontId="37" fillId="0" borderId="0" xfId="0" applyFont="1" applyAlignment="1">
      <alignment horizontal="right"/>
    </xf>
    <xf numFmtId="166" fontId="37" fillId="0" borderId="10" xfId="1" applyNumberFormat="1" applyFont="1" applyBorder="1"/>
    <xf numFmtId="0" fontId="37" fillId="0" borderId="0" xfId="0" applyFont="1"/>
    <xf numFmtId="0" fontId="26" fillId="0" borderId="4" xfId="27" applyFont="1" applyBorder="1" applyAlignment="1">
      <alignment horizontal="center"/>
    </xf>
    <xf numFmtId="0" fontId="26" fillId="0" borderId="0" xfId="27" applyFont="1" applyAlignment="1">
      <alignment horizontal="center"/>
    </xf>
    <xf numFmtId="14" fontId="26" fillId="0" borderId="6" xfId="27" applyNumberFormat="1" applyFont="1" applyBorder="1" applyAlignment="1">
      <alignment horizontal="center"/>
    </xf>
    <xf numFmtId="0" fontId="26" fillId="0" borderId="12" xfId="27" applyFont="1" applyBorder="1"/>
    <xf numFmtId="0" fontId="26" fillId="0" borderId="9" xfId="27" applyFont="1" applyBorder="1" applyAlignment="1">
      <alignment horizontal="center"/>
    </xf>
    <xf numFmtId="0" fontId="26" fillId="0" borderId="12" xfId="27" applyFont="1" applyBorder="1" applyAlignment="1">
      <alignment horizontal="center"/>
    </xf>
    <xf numFmtId="0" fontId="26" fillId="0" borderId="6" xfId="27" applyFont="1" applyBorder="1" applyAlignment="1">
      <alignment horizontal="center"/>
    </xf>
    <xf numFmtId="14" fontId="26" fillId="0" borderId="12" xfId="27" applyNumberFormat="1" applyFont="1" applyBorder="1" applyAlignment="1">
      <alignment horizontal="center"/>
    </xf>
    <xf numFmtId="10" fontId="27" fillId="0" borderId="0" xfId="32" applyNumberFormat="1" applyFont="1"/>
    <xf numFmtId="178" fontId="27" fillId="0" borderId="0" xfId="32" applyNumberFormat="1" applyFont="1" applyFill="1" applyBorder="1"/>
    <xf numFmtId="0" fontId="27" fillId="0" borderId="9" xfId="27" applyFont="1" applyBorder="1"/>
    <xf numFmtId="166" fontId="27" fillId="0" borderId="9" xfId="1" applyNumberFormat="1" applyFont="1" applyBorder="1"/>
    <xf numFmtId="166" fontId="26" fillId="0" borderId="10" xfId="1" applyNumberFormat="1" applyFont="1" applyBorder="1"/>
    <xf numFmtId="166" fontId="27" fillId="0" borderId="6" xfId="1" applyNumberFormat="1" applyFont="1" applyBorder="1"/>
    <xf numFmtId="166" fontId="26" fillId="0" borderId="9" xfId="1" applyNumberFormat="1" applyFont="1" applyBorder="1"/>
    <xf numFmtId="166" fontId="27" fillId="0" borderId="10" xfId="3" applyNumberFormat="1" applyFont="1" applyBorder="1"/>
    <xf numFmtId="0" fontId="37" fillId="0" borderId="9" xfId="0" applyFont="1" applyBorder="1" applyAlignment="1">
      <alignment horizontal="center" vertical="center" wrapText="1"/>
    </xf>
    <xf numFmtId="0" fontId="38" fillId="0" borderId="9" xfId="0" applyFont="1" applyBorder="1" applyAlignment="1">
      <alignment horizontal="center" vertical="center" wrapText="1"/>
    </xf>
    <xf numFmtId="0" fontId="46" fillId="0" borderId="0" xfId="0" applyFont="1" applyAlignment="1">
      <alignment vertical="center"/>
    </xf>
    <xf numFmtId="0" fontId="37" fillId="0" borderId="0" xfId="0" applyFont="1" applyAlignment="1">
      <alignment horizontal="left" vertical="center" indent="4"/>
    </xf>
    <xf numFmtId="0" fontId="37" fillId="0" borderId="0" xfId="17" applyFont="1" applyAlignment="1">
      <alignment horizontal="center"/>
    </xf>
    <xf numFmtId="0" fontId="37" fillId="0" borderId="0" xfId="17" applyFont="1" applyAlignment="1">
      <alignment horizontal="left"/>
    </xf>
    <xf numFmtId="0" fontId="37" fillId="0" borderId="9" xfId="17" applyFont="1" applyBorder="1" applyAlignment="1">
      <alignment horizontal="right" wrapText="1"/>
    </xf>
    <xf numFmtId="0" fontId="37" fillId="0" borderId="9" xfId="17" applyFont="1" applyBorder="1" applyAlignment="1">
      <alignment vertical="center" wrapText="1"/>
    </xf>
    <xf numFmtId="0" fontId="38" fillId="0" borderId="24" xfId="17" applyFont="1" applyBorder="1"/>
    <xf numFmtId="0" fontId="37" fillId="0" borderId="22" xfId="17" applyFont="1" applyBorder="1" applyAlignment="1">
      <alignment vertical="center"/>
    </xf>
    <xf numFmtId="0" fontId="38" fillId="0" borderId="3" xfId="17" applyFont="1" applyBorder="1" applyAlignment="1">
      <alignment wrapText="1"/>
    </xf>
    <xf numFmtId="0" fontId="38" fillId="0" borderId="0" xfId="17" applyFont="1" applyAlignment="1">
      <alignment vertical="center" wrapText="1"/>
    </xf>
    <xf numFmtId="0" fontId="38" fillId="0" borderId="3" xfId="17" applyFont="1" applyBorder="1"/>
    <xf numFmtId="0" fontId="41" fillId="0" borderId="0" xfId="21" applyFont="1"/>
    <xf numFmtId="0" fontId="37" fillId="0" borderId="22" xfId="17" applyFont="1" applyBorder="1" applyAlignment="1">
      <alignment horizontal="right"/>
    </xf>
    <xf numFmtId="0" fontId="37" fillId="0" borderId="0" xfId="17" applyFont="1" applyAlignment="1">
      <alignment horizontal="right"/>
    </xf>
    <xf numFmtId="0" fontId="37" fillId="0" borderId="0" xfId="17" applyFont="1" applyAlignment="1">
      <alignment vertical="center" wrapText="1"/>
    </xf>
    <xf numFmtId="0" fontId="48" fillId="0" borderId="0" xfId="17" applyFont="1" applyAlignment="1">
      <alignment vertical="center"/>
    </xf>
    <xf numFmtId="0" fontId="38" fillId="0" borderId="0" xfId="17" quotePrefix="1" applyFont="1" applyAlignment="1">
      <alignment vertical="center"/>
    </xf>
    <xf numFmtId="170" fontId="37" fillId="0" borderId="0" xfId="17" applyNumberFormat="1" applyFont="1"/>
    <xf numFmtId="0" fontId="37" fillId="0" borderId="0" xfId="17" applyFont="1"/>
    <xf numFmtId="0" fontId="48" fillId="0" borderId="0" xfId="17" applyFont="1" applyAlignment="1">
      <alignment vertical="center" wrapText="1"/>
    </xf>
    <xf numFmtId="0" fontId="43" fillId="0" borderId="0" xfId="17" applyFont="1" applyAlignment="1">
      <alignment vertical="center" wrapText="1"/>
    </xf>
    <xf numFmtId="0" fontId="41" fillId="0" borderId="0" xfId="21" applyFont="1" applyAlignment="1">
      <alignment horizontal="left"/>
    </xf>
    <xf numFmtId="0" fontId="37" fillId="0" borderId="3" xfId="17" applyFont="1" applyBorder="1" applyAlignment="1">
      <alignment wrapText="1"/>
    </xf>
    <xf numFmtId="0" fontId="49" fillId="0" borderId="0" xfId="21" applyFont="1" applyAlignment="1">
      <alignment horizontal="center"/>
    </xf>
    <xf numFmtId="0" fontId="50" fillId="0" borderId="0" xfId="21" applyFont="1" applyAlignment="1">
      <alignment horizontal="left"/>
    </xf>
    <xf numFmtId="0" fontId="37" fillId="0" borderId="22" xfId="17" applyFont="1" applyBorder="1" applyAlignment="1">
      <alignment horizontal="center"/>
    </xf>
    <xf numFmtId="0" fontId="38" fillId="0" borderId="9" xfId="17" applyFont="1" applyBorder="1"/>
    <xf numFmtId="0" fontId="38" fillId="0" borderId="0" xfId="17" applyFont="1" applyAlignment="1">
      <alignment vertical="center"/>
    </xf>
    <xf numFmtId="0" fontId="48" fillId="0" borderId="0" xfId="17" applyFont="1"/>
    <xf numFmtId="0" fontId="38" fillId="0" borderId="0" xfId="17" applyFont="1" applyAlignment="1">
      <alignment wrapText="1"/>
    </xf>
    <xf numFmtId="0" fontId="37" fillId="0" borderId="0" xfId="17" applyFont="1" applyAlignment="1">
      <alignment wrapText="1"/>
    </xf>
    <xf numFmtId="166" fontId="38" fillId="0" borderId="4" xfId="1" applyNumberFormat="1" applyFont="1" applyFill="1" applyBorder="1"/>
    <xf numFmtId="166" fontId="38" fillId="0" borderId="8" xfId="1" applyNumberFormat="1" applyFont="1" applyFill="1" applyBorder="1"/>
    <xf numFmtId="0" fontId="38" fillId="0" borderId="6" xfId="17" applyFont="1" applyBorder="1"/>
    <xf numFmtId="0" fontId="37" fillId="0" borderId="12" xfId="17" applyFont="1" applyBorder="1"/>
    <xf numFmtId="0" fontId="37" fillId="0" borderId="5" xfId="17" applyFont="1" applyBorder="1"/>
    <xf numFmtId="0" fontId="37" fillId="0" borderId="12" xfId="17" applyFont="1" applyBorder="1" applyAlignment="1">
      <alignment horizontal="center"/>
    </xf>
    <xf numFmtId="0" fontId="37" fillId="0" borderId="25" xfId="17" applyFont="1" applyBorder="1" applyAlignment="1">
      <alignment vertical="center"/>
    </xf>
    <xf numFmtId="0" fontId="38" fillId="0" borderId="0" xfId="0" quotePrefix="1" applyFont="1" applyAlignment="1">
      <alignment horizontal="left" indent="1"/>
    </xf>
    <xf numFmtId="0" fontId="38" fillId="0" borderId="0" xfId="0" applyFont="1" applyAlignment="1">
      <alignment horizontal="left" indent="1"/>
    </xf>
    <xf numFmtId="166" fontId="39" fillId="0" borderId="8" xfId="6" applyNumberFormat="1" applyFont="1" applyFill="1" applyBorder="1" applyAlignment="1"/>
    <xf numFmtId="0" fontId="39" fillId="0" borderId="0" xfId="0" applyFont="1" applyAlignment="1">
      <alignment horizontal="left" vertical="top" indent="1"/>
    </xf>
    <xf numFmtId="0" fontId="38" fillId="0" borderId="5" xfId="17" applyFont="1" applyBorder="1"/>
    <xf numFmtId="166" fontId="42" fillId="0" borderId="0" xfId="1" applyNumberFormat="1" applyFont="1" applyFill="1"/>
    <xf numFmtId="166" fontId="38" fillId="0" borderId="4" xfId="1" applyNumberFormat="1" applyFont="1" applyFill="1" applyBorder="1" applyAlignment="1">
      <alignment horizontal="right" wrapText="1"/>
    </xf>
    <xf numFmtId="0" fontId="38" fillId="0" borderId="0" xfId="22" applyFont="1"/>
    <xf numFmtId="0" fontId="39" fillId="0" borderId="0" xfId="17" applyFont="1"/>
    <xf numFmtId="0" fontId="40" fillId="0" borderId="0" xfId="17" applyFont="1"/>
    <xf numFmtId="0" fontId="39" fillId="0" borderId="24" xfId="17" applyFont="1" applyBorder="1"/>
    <xf numFmtId="0" fontId="40" fillId="0" borderId="22" xfId="17" applyFont="1" applyBorder="1" applyAlignment="1">
      <alignment vertical="center"/>
    </xf>
    <xf numFmtId="0" fontId="39" fillId="0" borderId="3" xfId="17" applyFont="1" applyBorder="1"/>
    <xf numFmtId="0" fontId="40" fillId="0" borderId="8" xfId="0" applyFont="1" applyBorder="1" applyAlignment="1">
      <alignment horizontal="left" vertical="top" indent="1"/>
    </xf>
    <xf numFmtId="0" fontId="39" fillId="0" borderId="8" xfId="0" applyFont="1" applyBorder="1" applyAlignment="1">
      <alignment horizontal="left" vertical="top" indent="1"/>
    </xf>
    <xf numFmtId="0" fontId="39" fillId="0" borderId="0" xfId="17" applyFont="1" applyAlignment="1">
      <alignment wrapText="1"/>
    </xf>
    <xf numFmtId="0" fontId="40" fillId="0" borderId="22" xfId="17" applyFont="1" applyBorder="1" applyAlignment="1">
      <alignment horizontal="right"/>
    </xf>
    <xf numFmtId="0" fontId="39" fillId="0" borderId="0" xfId="0" applyFont="1"/>
    <xf numFmtId="0" fontId="39" fillId="0" borderId="0" xfId="0" applyFont="1" applyAlignment="1">
      <alignment horizontal="left" vertical="top" indent="2"/>
    </xf>
    <xf numFmtId="0" fontId="40" fillId="0" borderId="0" xfId="0" applyFont="1"/>
    <xf numFmtId="0" fontId="51" fillId="0" borderId="0" xfId="0" applyFont="1"/>
    <xf numFmtId="0" fontId="39" fillId="0" borderId="7" xfId="17" applyFont="1" applyBorder="1"/>
    <xf numFmtId="0" fontId="40" fillId="0" borderId="12" xfId="17" applyFont="1" applyBorder="1" applyAlignment="1">
      <alignment horizontal="right"/>
    </xf>
    <xf numFmtId="0" fontId="40" fillId="0" borderId="0" xfId="17" applyFont="1" applyAlignment="1">
      <alignment horizontal="right"/>
    </xf>
    <xf numFmtId="0" fontId="39" fillId="0" borderId="0" xfId="17" applyFont="1" applyAlignment="1">
      <alignment vertical="center"/>
    </xf>
    <xf numFmtId="0" fontId="39" fillId="0" borderId="3" xfId="17" applyFont="1" applyBorder="1" applyAlignment="1">
      <alignment wrapText="1"/>
    </xf>
    <xf numFmtId="0" fontId="40" fillId="0" borderId="0" xfId="17" applyFont="1" applyAlignment="1">
      <alignment vertical="center" wrapText="1"/>
    </xf>
    <xf numFmtId="0" fontId="39" fillId="0" borderId="0" xfId="17" applyFont="1" applyAlignment="1">
      <alignment vertical="center" wrapText="1"/>
    </xf>
    <xf numFmtId="0" fontId="40" fillId="0" borderId="0" xfId="17" applyFont="1" applyAlignment="1">
      <alignment vertical="center"/>
    </xf>
    <xf numFmtId="0" fontId="39" fillId="0" borderId="24" xfId="17" applyFont="1" applyBorder="1" applyAlignment="1">
      <alignment wrapText="1"/>
    </xf>
    <xf numFmtId="0" fontId="40" fillId="0" borderId="22" xfId="17" applyFont="1" applyBorder="1" applyAlignment="1">
      <alignment vertical="center" wrapText="1"/>
    </xf>
    <xf numFmtId="0" fontId="37" fillId="0" borderId="12" xfId="17" applyFont="1" applyBorder="1" applyAlignment="1">
      <alignment horizontal="right"/>
    </xf>
    <xf numFmtId="0" fontId="37" fillId="0" borderId="22" xfId="0" applyFont="1" applyBorder="1" applyAlignment="1">
      <alignment horizontal="center" vertical="center" wrapText="1"/>
    </xf>
    <xf numFmtId="0" fontId="38" fillId="0" borderId="0" xfId="0" applyFont="1" applyAlignment="1">
      <alignment horizontal="left" vertical="center" wrapText="1" indent="4"/>
    </xf>
    <xf numFmtId="0" fontId="48" fillId="0" borderId="0" xfId="0" applyFont="1" applyAlignment="1">
      <alignment vertical="center" wrapText="1"/>
    </xf>
    <xf numFmtId="166" fontId="37" fillId="0" borderId="0" xfId="1" applyNumberFormat="1" applyFont="1" applyFill="1" applyAlignment="1">
      <alignment horizontal="center"/>
    </xf>
    <xf numFmtId="166" fontId="38" fillId="0" borderId="0" xfId="1" applyNumberFormat="1" applyFont="1" applyFill="1" applyBorder="1" applyAlignment="1">
      <alignment horizontal="right"/>
    </xf>
    <xf numFmtId="166" fontId="37" fillId="0" borderId="9" xfId="1" applyNumberFormat="1" applyFont="1" applyFill="1" applyBorder="1" applyAlignment="1">
      <alignment horizontal="center"/>
    </xf>
    <xf numFmtId="166" fontId="37" fillId="0" borderId="9" xfId="1" applyNumberFormat="1" applyFont="1" applyFill="1" applyBorder="1" applyAlignment="1">
      <alignment horizontal="center" wrapText="1"/>
    </xf>
    <xf numFmtId="166" fontId="38" fillId="0" borderId="4" xfId="1" applyNumberFormat="1" applyFont="1" applyFill="1" applyBorder="1" applyAlignment="1">
      <alignment horizontal="left" wrapText="1"/>
    </xf>
    <xf numFmtId="166" fontId="37" fillId="0" borderId="10" xfId="1" applyNumberFormat="1" applyFont="1" applyFill="1" applyBorder="1" applyAlignment="1">
      <alignment horizontal="left"/>
    </xf>
    <xf numFmtId="166" fontId="37" fillId="0" borderId="0" xfId="1" applyNumberFormat="1" applyFont="1" applyFill="1" applyBorder="1"/>
    <xf numFmtId="166" fontId="38" fillId="0" borderId="4" xfId="1" applyNumberFormat="1" applyFont="1" applyFill="1" applyBorder="1" applyAlignment="1">
      <alignment horizontal="left" vertical="center" wrapText="1"/>
    </xf>
    <xf numFmtId="166" fontId="37" fillId="0" borderId="10" xfId="1" applyNumberFormat="1" applyFont="1" applyFill="1" applyBorder="1" applyAlignment="1">
      <alignment horizontal="left" vertical="center"/>
    </xf>
    <xf numFmtId="166" fontId="37" fillId="0" borderId="4" xfId="1" applyNumberFormat="1" applyFont="1" applyFill="1" applyBorder="1" applyAlignment="1">
      <alignment horizontal="center" wrapText="1"/>
    </xf>
    <xf numFmtId="166" fontId="37" fillId="0" borderId="4" xfId="1" applyNumberFormat="1" applyFont="1" applyFill="1" applyBorder="1" applyAlignment="1">
      <alignment wrapText="1"/>
    </xf>
    <xf numFmtId="166" fontId="38" fillId="0" borderId="4" xfId="1" applyNumberFormat="1" applyFont="1" applyFill="1" applyBorder="1" applyAlignment="1">
      <alignment wrapText="1"/>
    </xf>
    <xf numFmtId="166" fontId="37" fillId="0" borderId="10" xfId="1" applyNumberFormat="1" applyFont="1" applyFill="1" applyBorder="1" applyAlignment="1"/>
    <xf numFmtId="166" fontId="37" fillId="0" borderId="4" xfId="1" applyNumberFormat="1" applyFont="1" applyFill="1" applyBorder="1" applyAlignment="1">
      <alignment horizontal="right" wrapText="1"/>
    </xf>
    <xf numFmtId="166" fontId="38" fillId="0" borderId="4" xfId="1" applyNumberFormat="1" applyFont="1" applyFill="1" applyBorder="1" applyAlignment="1">
      <alignment horizontal="center" wrapText="1"/>
    </xf>
    <xf numFmtId="166" fontId="37" fillId="0" borderId="10" xfId="1" applyNumberFormat="1" applyFont="1" applyFill="1" applyBorder="1"/>
    <xf numFmtId="166" fontId="37" fillId="0" borderId="25" xfId="1" applyNumberFormat="1" applyFont="1" applyFill="1" applyBorder="1" applyAlignment="1">
      <alignment horizontal="center" wrapText="1"/>
    </xf>
    <xf numFmtId="166" fontId="37" fillId="0" borderId="8" xfId="1" applyNumberFormat="1" applyFont="1" applyFill="1" applyBorder="1" applyAlignment="1">
      <alignment horizontal="center" wrapText="1"/>
    </xf>
    <xf numFmtId="166" fontId="37" fillId="0" borderId="8" xfId="1" applyNumberFormat="1" applyFont="1" applyFill="1" applyBorder="1"/>
    <xf numFmtId="166" fontId="37" fillId="0" borderId="30" xfId="1" applyNumberFormat="1" applyFont="1" applyFill="1" applyBorder="1"/>
    <xf numFmtId="166" fontId="38" fillId="0" borderId="30" xfId="1" applyNumberFormat="1" applyFont="1" applyFill="1" applyBorder="1"/>
    <xf numFmtId="166" fontId="38" fillId="0" borderId="3" xfId="1" applyNumberFormat="1" applyFont="1" applyFill="1" applyBorder="1"/>
    <xf numFmtId="166" fontId="38" fillId="0" borderId="32" xfId="1" applyNumberFormat="1" applyFont="1" applyFill="1" applyBorder="1"/>
    <xf numFmtId="166" fontId="38" fillId="0" borderId="10" xfId="1" applyNumberFormat="1" applyFont="1" applyFill="1" applyBorder="1"/>
    <xf numFmtId="166" fontId="37" fillId="0" borderId="32" xfId="1" applyNumberFormat="1" applyFont="1" applyFill="1" applyBorder="1"/>
    <xf numFmtId="166" fontId="37" fillId="0" borderId="31" xfId="1" applyNumberFormat="1" applyFont="1" applyFill="1" applyBorder="1"/>
    <xf numFmtId="166" fontId="38" fillId="0" borderId="0" xfId="1" applyNumberFormat="1" applyFont="1"/>
    <xf numFmtId="166" fontId="37" fillId="0" borderId="9" xfId="1" applyNumberFormat="1" applyFont="1" applyFill="1" applyBorder="1" applyAlignment="1">
      <alignment horizontal="center" vertical="center" wrapText="1"/>
    </xf>
    <xf numFmtId="166" fontId="38" fillId="0" borderId="4" xfId="1" applyNumberFormat="1" applyFont="1" applyFill="1" applyBorder="1" applyAlignment="1">
      <alignment vertical="center" wrapText="1"/>
    </xf>
    <xf numFmtId="166" fontId="38" fillId="0" borderId="8" xfId="1" applyNumberFormat="1" applyFont="1" applyFill="1" applyBorder="1" applyAlignment="1">
      <alignment vertical="center" wrapText="1"/>
    </xf>
    <xf numFmtId="166" fontId="38" fillId="0" borderId="4" xfId="1" applyNumberFormat="1" applyFont="1" applyFill="1" applyBorder="1" applyAlignment="1">
      <alignment horizontal="center" vertical="center" wrapText="1"/>
    </xf>
    <xf numFmtId="166" fontId="38" fillId="0" borderId="8" xfId="1" applyNumberFormat="1" applyFont="1" applyFill="1" applyBorder="1" applyAlignment="1">
      <alignment horizontal="left" vertical="center" wrapText="1" indent="6"/>
    </xf>
    <xf numFmtId="166" fontId="37" fillId="0" borderId="10" xfId="1" applyNumberFormat="1" applyFont="1" applyFill="1" applyBorder="1" applyAlignment="1">
      <alignment horizontal="center" vertical="center" wrapText="1"/>
    </xf>
    <xf numFmtId="166" fontId="38" fillId="0" borderId="12" xfId="1" applyNumberFormat="1" applyFont="1" applyFill="1" applyBorder="1"/>
    <xf numFmtId="166" fontId="37" fillId="0" borderId="9" xfId="1" applyNumberFormat="1" applyFont="1" applyFill="1" applyBorder="1"/>
    <xf numFmtId="166" fontId="37" fillId="0" borderId="4" xfId="1" applyNumberFormat="1" applyFont="1" applyFill="1" applyBorder="1" applyAlignment="1">
      <alignment horizontal="right"/>
    </xf>
    <xf numFmtId="166" fontId="37" fillId="0" borderId="8" xfId="1" applyNumberFormat="1" applyFont="1" applyFill="1" applyBorder="1" applyAlignment="1">
      <alignment horizontal="right"/>
    </xf>
    <xf numFmtId="166" fontId="39" fillId="0" borderId="8" xfId="1" applyNumberFormat="1" applyFont="1" applyFill="1" applyBorder="1"/>
    <xf numFmtId="166" fontId="39" fillId="0" borderId="4" xfId="1" applyNumberFormat="1" applyFont="1" applyFill="1" applyBorder="1"/>
    <xf numFmtId="166" fontId="38" fillId="0" borderId="0" xfId="1" applyNumberFormat="1" applyFont="1" applyFill="1" applyBorder="1"/>
    <xf numFmtId="166" fontId="38" fillId="0" borderId="0" xfId="1" applyNumberFormat="1" applyFont="1" applyFill="1" applyBorder="1" applyAlignment="1">
      <alignment horizontal="center"/>
    </xf>
    <xf numFmtId="166" fontId="39" fillId="0" borderId="0" xfId="1" applyNumberFormat="1" applyFont="1" applyFill="1"/>
    <xf numFmtId="166" fontId="39" fillId="3" borderId="4" xfId="1" applyNumberFormat="1" applyFont="1" applyFill="1" applyBorder="1"/>
    <xf numFmtId="166" fontId="40" fillId="0" borderId="0" xfId="1" applyNumberFormat="1" applyFont="1" applyFill="1" applyBorder="1"/>
    <xf numFmtId="166" fontId="39" fillId="0" borderId="0" xfId="1" applyNumberFormat="1" applyFont="1" applyFill="1" applyBorder="1"/>
    <xf numFmtId="166" fontId="39" fillId="0" borderId="4" xfId="1" applyNumberFormat="1" applyFont="1" applyFill="1" applyBorder="1" applyAlignment="1">
      <alignment horizontal="right" wrapText="1"/>
    </xf>
    <xf numFmtId="166" fontId="39" fillId="0" borderId="4" xfId="1" applyNumberFormat="1" applyFont="1" applyFill="1" applyBorder="1" applyAlignment="1">
      <alignment wrapText="1"/>
    </xf>
    <xf numFmtId="166" fontId="39" fillId="0" borderId="4" xfId="1" applyNumberFormat="1" applyFont="1" applyFill="1" applyBorder="1" applyAlignment="1">
      <alignment horizontal="right"/>
    </xf>
    <xf numFmtId="166" fontId="39" fillId="0" borderId="4" xfId="1" applyNumberFormat="1" applyFont="1" applyFill="1" applyBorder="1" applyAlignment="1">
      <alignment vertical="top"/>
    </xf>
    <xf numFmtId="166" fontId="40" fillId="0" borderId="4" xfId="1" applyNumberFormat="1" applyFont="1" applyFill="1" applyBorder="1" applyAlignment="1">
      <alignment horizontal="right" wrapText="1"/>
    </xf>
    <xf numFmtId="0" fontId="37" fillId="0" borderId="7" xfId="0" quotePrefix="1" applyFont="1" applyBorder="1" applyAlignment="1">
      <alignment horizontal="center"/>
    </xf>
    <xf numFmtId="0" fontId="37" fillId="0" borderId="8" xfId="17" applyFont="1" applyBorder="1" applyAlignment="1">
      <alignment vertical="center"/>
    </xf>
    <xf numFmtId="166" fontId="40" fillId="0" borderId="8" xfId="6" applyNumberFormat="1" applyFont="1" applyFill="1" applyBorder="1" applyAlignment="1"/>
    <xf numFmtId="0" fontId="38" fillId="0" borderId="22" xfId="17" applyFont="1" applyBorder="1"/>
    <xf numFmtId="0" fontId="38" fillId="0" borderId="0" xfId="17" quotePrefix="1" applyFont="1"/>
    <xf numFmtId="166" fontId="37" fillId="0" borderId="10" xfId="1" applyNumberFormat="1" applyFont="1" applyFill="1" applyBorder="1" applyAlignment="1">
      <alignment horizontal="right"/>
    </xf>
    <xf numFmtId="0" fontId="37" fillId="0" borderId="9" xfId="17" applyFont="1" applyBorder="1" applyAlignment="1">
      <alignment vertical="center"/>
    </xf>
    <xf numFmtId="166" fontId="37" fillId="0" borderId="0" xfId="1" applyNumberFormat="1" applyFont="1" applyFill="1" applyBorder="1" applyAlignment="1">
      <alignment horizontal="right"/>
    </xf>
    <xf numFmtId="0" fontId="37" fillId="0" borderId="0" xfId="0" applyFont="1" applyAlignment="1">
      <alignment horizontal="center" vertical="center" wrapText="1"/>
    </xf>
    <xf numFmtId="0" fontId="37" fillId="0" borderId="0" xfId="17" applyFont="1" applyAlignment="1">
      <alignment vertical="center"/>
    </xf>
    <xf numFmtId="0" fontId="37" fillId="0" borderId="23" xfId="0" applyFont="1" applyBorder="1" applyAlignment="1">
      <alignment vertical="center" wrapText="1"/>
    </xf>
    <xf numFmtId="0" fontId="37" fillId="0" borderId="1" xfId="17" applyFont="1" applyBorder="1"/>
    <xf numFmtId="0" fontId="38" fillId="0" borderId="0" xfId="17" applyFont="1" applyAlignment="1">
      <alignment horizontal="left" wrapText="1"/>
    </xf>
    <xf numFmtId="0" fontId="37" fillId="0" borderId="3" xfId="17" applyFont="1" applyBorder="1"/>
    <xf numFmtId="166" fontId="37" fillId="0" borderId="30" xfId="1" applyNumberFormat="1" applyFont="1" applyFill="1" applyBorder="1" applyAlignment="1">
      <alignment horizontal="center" vertical="center" wrapText="1"/>
    </xf>
    <xf numFmtId="0" fontId="27" fillId="0" borderId="3" xfId="17" applyFont="1" applyBorder="1" applyAlignment="1">
      <alignment horizontal="left" wrapText="1"/>
    </xf>
    <xf numFmtId="0" fontId="25" fillId="0" borderId="3" xfId="17" applyFont="1" applyBorder="1" applyAlignment="1">
      <alignment horizontal="left" vertical="center"/>
    </xf>
    <xf numFmtId="0" fontId="24" fillId="0" borderId="3" xfId="17" applyFont="1" applyBorder="1" applyAlignment="1">
      <alignment horizontal="center" vertical="center"/>
    </xf>
    <xf numFmtId="0" fontId="52" fillId="0" borderId="3" xfId="17" applyFont="1" applyBorder="1" applyAlignment="1">
      <alignment horizontal="left" vertical="center"/>
    </xf>
    <xf numFmtId="164" fontId="31" fillId="0" borderId="6" xfId="15" applyNumberFormat="1" applyFont="1" applyFill="1" applyBorder="1" applyAlignment="1">
      <alignment horizontal="center" vertical="center"/>
    </xf>
    <xf numFmtId="0" fontId="26" fillId="0" borderId="0" xfId="17" applyFont="1" applyAlignment="1">
      <alignment horizontal="center" wrapText="1"/>
    </xf>
    <xf numFmtId="164" fontId="27" fillId="0" borderId="0" xfId="17" applyNumberFormat="1" applyFont="1" applyAlignment="1">
      <alignment horizontal="center" wrapText="1"/>
    </xf>
    <xf numFmtId="165" fontId="27" fillId="0" borderId="0" xfId="1" applyFont="1" applyFill="1" applyBorder="1" applyAlignment="1">
      <alignment horizontal="center" wrapText="1"/>
    </xf>
    <xf numFmtId="0" fontId="28" fillId="0" borderId="3" xfId="17" applyFont="1" applyBorder="1" applyAlignment="1">
      <alignment horizontal="left" vertical="top" wrapText="1"/>
    </xf>
    <xf numFmtId="164" fontId="27" fillId="0" borderId="4" xfId="17" applyNumberFormat="1" applyFont="1" applyBorder="1" applyAlignment="1">
      <alignment horizontal="center" wrapText="1"/>
    </xf>
    <xf numFmtId="165" fontId="27" fillId="0" borderId="4" xfId="1" applyFont="1" applyFill="1" applyBorder="1" applyAlignment="1">
      <alignment horizontal="center" wrapText="1"/>
    </xf>
    <xf numFmtId="0" fontId="26" fillId="0" borderId="22" xfId="17" applyFont="1" applyBorder="1" applyAlignment="1">
      <alignment horizontal="center" wrapText="1"/>
    </xf>
    <xf numFmtId="0" fontId="28" fillId="0" borderId="5" xfId="17" applyFont="1" applyBorder="1" applyAlignment="1">
      <alignment horizontal="left" vertical="center" wrapText="1"/>
    </xf>
    <xf numFmtId="0" fontId="27" fillId="0" borderId="1" xfId="17" applyFont="1" applyBorder="1"/>
    <xf numFmtId="0" fontId="27" fillId="0" borderId="3" xfId="17" applyFont="1" applyBorder="1"/>
    <xf numFmtId="165" fontId="26" fillId="0" borderId="11" xfId="15" applyNumberFormat="1" applyFont="1" applyFill="1" applyBorder="1" applyAlignment="1">
      <alignment horizontal="center" vertical="center" wrapText="1"/>
    </xf>
    <xf numFmtId="0" fontId="26" fillId="0" borderId="24" xfId="17" applyFont="1" applyBorder="1"/>
    <xf numFmtId="165" fontId="31" fillId="0" borderId="10" xfId="17" applyNumberFormat="1" applyFont="1" applyBorder="1" applyAlignment="1">
      <alignment vertical="top"/>
    </xf>
    <xf numFmtId="0" fontId="27" fillId="0" borderId="3" xfId="17" applyFont="1" applyBorder="1" applyAlignment="1">
      <alignment wrapText="1"/>
    </xf>
    <xf numFmtId="0" fontId="28" fillId="0" borderId="4" xfId="17" applyFont="1" applyBorder="1" applyAlignment="1">
      <alignment vertical="top"/>
    </xf>
    <xf numFmtId="0" fontId="26" fillId="0" borderId="5" xfId="17" applyFont="1" applyBorder="1"/>
    <xf numFmtId="165" fontId="31" fillId="0" borderId="10" xfId="1" applyFont="1" applyFill="1" applyBorder="1" applyAlignment="1">
      <alignment vertical="top"/>
    </xf>
    <xf numFmtId="166" fontId="27" fillId="0" borderId="0" xfId="1" applyNumberFormat="1" applyFont="1" applyFill="1" applyBorder="1"/>
    <xf numFmtId="166" fontId="26" fillId="0" borderId="9" xfId="1" applyNumberFormat="1" applyFont="1" applyFill="1" applyBorder="1" applyAlignment="1">
      <alignment horizontal="center"/>
    </xf>
    <xf numFmtId="166" fontId="26" fillId="0" borderId="4" xfId="1" applyNumberFormat="1" applyFont="1" applyFill="1" applyBorder="1" applyAlignment="1">
      <alignment horizontal="center"/>
    </xf>
    <xf numFmtId="166" fontId="26" fillId="0" borderId="4" xfId="1" applyNumberFormat="1" applyFont="1" applyFill="1" applyBorder="1" applyAlignment="1">
      <alignment horizontal="right"/>
    </xf>
    <xf numFmtId="166" fontId="27" fillId="0" borderId="4" xfId="1" applyNumberFormat="1" applyFont="1" applyFill="1" applyBorder="1" applyAlignment="1">
      <alignment horizontal="right"/>
    </xf>
    <xf numFmtId="166" fontId="25" fillId="0" borderId="4" xfId="1" applyNumberFormat="1" applyFont="1" applyBorder="1" applyAlignment="1">
      <alignment horizontal="center" vertical="center" wrapText="1"/>
    </xf>
    <xf numFmtId="166" fontId="26" fillId="0" borderId="10" xfId="1" applyNumberFormat="1" applyFont="1" applyFill="1" applyBorder="1" applyAlignment="1">
      <alignment horizontal="right"/>
    </xf>
    <xf numFmtId="166" fontId="25" fillId="0" borderId="3" xfId="1" applyNumberFormat="1" applyFont="1" applyBorder="1" applyAlignment="1">
      <alignment horizontal="center" vertical="center" wrapText="1"/>
    </xf>
    <xf numFmtId="166" fontId="26" fillId="0" borderId="11" xfId="1" applyNumberFormat="1" applyFont="1" applyFill="1" applyBorder="1" applyAlignment="1">
      <alignment horizontal="right"/>
    </xf>
    <xf numFmtId="166" fontId="27" fillId="0" borderId="11" xfId="1" applyNumberFormat="1" applyFont="1" applyFill="1" applyBorder="1" applyAlignment="1">
      <alignment horizontal="right"/>
    </xf>
    <xf numFmtId="166" fontId="26" fillId="0" borderId="9" xfId="1" applyNumberFormat="1" applyFont="1" applyFill="1" applyBorder="1" applyAlignment="1">
      <alignment horizontal="right"/>
    </xf>
    <xf numFmtId="166" fontId="26" fillId="0" borderId="0" xfId="1" applyNumberFormat="1" applyFont="1" applyFill="1" applyBorder="1" applyAlignment="1">
      <alignment horizontal="right"/>
    </xf>
    <xf numFmtId="166" fontId="27" fillId="0" borderId="0" xfId="1" applyNumberFormat="1" applyFont="1" applyFill="1" applyBorder="1" applyAlignment="1">
      <alignment horizontal="right"/>
    </xf>
    <xf numFmtId="166" fontId="26" fillId="0" borderId="9" xfId="1" applyNumberFormat="1" applyFont="1" applyFill="1" applyBorder="1" applyAlignment="1"/>
    <xf numFmtId="166" fontId="25" fillId="0" borderId="4" xfId="1" applyNumberFormat="1" applyFont="1" applyBorder="1" applyAlignment="1">
      <alignment vertical="center" wrapText="1"/>
    </xf>
    <xf numFmtId="166" fontId="25" fillId="0" borderId="3" xfId="1" applyNumberFormat="1" applyFont="1" applyBorder="1"/>
    <xf numFmtId="166" fontId="29" fillId="0" borderId="4" xfId="1" applyNumberFormat="1" applyFont="1" applyFill="1" applyBorder="1" applyAlignment="1">
      <alignment horizontal="right"/>
    </xf>
    <xf numFmtId="166" fontId="24" fillId="0" borderId="4" xfId="1" applyNumberFormat="1" applyFont="1" applyBorder="1"/>
    <xf numFmtId="166" fontId="25" fillId="0" borderId="4" xfId="1" applyNumberFormat="1" applyFont="1" applyBorder="1"/>
    <xf numFmtId="166" fontId="24" fillId="0" borderId="10" xfId="1" applyNumberFormat="1" applyFont="1" applyBorder="1"/>
    <xf numFmtId="166" fontId="27" fillId="0" borderId="0" xfId="1" applyNumberFormat="1" applyFont="1" applyFill="1" applyBorder="1" applyAlignment="1"/>
    <xf numFmtId="166" fontId="25" fillId="0" borderId="0" xfId="1" applyNumberFormat="1" applyFont="1" applyFill="1" applyBorder="1"/>
    <xf numFmtId="166" fontId="28" fillId="0" borderId="0" xfId="1" applyNumberFormat="1" applyFont="1" applyFill="1" applyBorder="1"/>
    <xf numFmtId="166" fontId="28" fillId="0" borderId="12" xfId="1" applyNumberFormat="1" applyFont="1" applyFill="1" applyBorder="1"/>
    <xf numFmtId="0" fontId="27" fillId="0" borderId="3" xfId="0" applyFont="1" applyBorder="1" applyAlignment="1">
      <alignment horizontal="left" vertical="center"/>
    </xf>
    <xf numFmtId="0" fontId="31" fillId="0" borderId="0" xfId="0" applyFont="1" applyAlignment="1">
      <alignment vertical="top"/>
    </xf>
    <xf numFmtId="166" fontId="26" fillId="0" borderId="3" xfId="1" applyNumberFormat="1" applyFont="1" applyFill="1" applyBorder="1" applyAlignment="1">
      <alignment horizontal="center" vertical="center" wrapText="1"/>
    </xf>
    <xf numFmtId="166" fontId="25" fillId="0" borderId="3" xfId="1" applyNumberFormat="1" applyFont="1" applyFill="1" applyBorder="1"/>
    <xf numFmtId="166" fontId="27" fillId="0" borderId="4" xfId="1" applyNumberFormat="1" applyFont="1" applyFill="1" applyBorder="1"/>
    <xf numFmtId="166" fontId="26" fillId="0" borderId="32" xfId="1" applyNumberFormat="1" applyFont="1" applyFill="1" applyBorder="1" applyAlignment="1">
      <alignment horizontal="center" vertical="center" wrapText="1"/>
    </xf>
    <xf numFmtId="0" fontId="33" fillId="0" borderId="3" xfId="0" applyFont="1" applyBorder="1" applyAlignment="1">
      <alignment horizontal="left" vertical="center"/>
    </xf>
    <xf numFmtId="0" fontId="26" fillId="0" borderId="3" xfId="0" quotePrefix="1" applyFont="1" applyBorder="1"/>
    <xf numFmtId="0" fontId="26" fillId="0" borderId="5" xfId="0" quotePrefix="1" applyFont="1" applyBorder="1"/>
    <xf numFmtId="0" fontId="28" fillId="0" borderId="0" xfId="17" applyFont="1" applyAlignment="1">
      <alignment horizontal="left"/>
    </xf>
    <xf numFmtId="0" fontId="26" fillId="0" borderId="0" xfId="0" quotePrefix="1" applyFont="1" applyAlignment="1">
      <alignment horizontal="right"/>
    </xf>
    <xf numFmtId="166" fontId="31" fillId="0" borderId="0" xfId="1" applyNumberFormat="1" applyFont="1" applyFill="1" applyBorder="1" applyAlignment="1">
      <alignment vertical="top"/>
    </xf>
    <xf numFmtId="166" fontId="31" fillId="0" borderId="4" xfId="1" applyNumberFormat="1" applyFont="1" applyFill="1" applyBorder="1" applyAlignment="1">
      <alignment vertical="top"/>
    </xf>
    <xf numFmtId="166" fontId="31" fillId="0" borderId="6" xfId="1" applyNumberFormat="1" applyFont="1" applyFill="1" applyBorder="1" applyAlignment="1">
      <alignment vertical="top"/>
    </xf>
    <xf numFmtId="0" fontId="33" fillId="0" borderId="3" xfId="0" applyFont="1" applyBorder="1"/>
    <xf numFmtId="0" fontId="27" fillId="0" borderId="3" xfId="0" quotePrefix="1" applyFont="1" applyBorder="1"/>
    <xf numFmtId="166" fontId="31" fillId="0" borderId="30" xfId="1" applyNumberFormat="1" applyFont="1" applyFill="1" applyBorder="1" applyAlignment="1">
      <alignment vertical="top"/>
    </xf>
    <xf numFmtId="166" fontId="31" fillId="0" borderId="10" xfId="1" applyNumberFormat="1" applyFont="1" applyFill="1" applyBorder="1" applyAlignment="1">
      <alignment vertical="top"/>
    </xf>
    <xf numFmtId="166" fontId="31" fillId="0" borderId="35" xfId="1" applyNumberFormat="1" applyFont="1" applyFill="1" applyBorder="1" applyAlignment="1">
      <alignment vertical="top"/>
    </xf>
    <xf numFmtId="0" fontId="26" fillId="0" borderId="24" xfId="0" applyFont="1" applyBorder="1"/>
    <xf numFmtId="166" fontId="25" fillId="0" borderId="0" xfId="3" applyNumberFormat="1" applyFont="1" applyFill="1" applyBorder="1"/>
    <xf numFmtId="0" fontId="37" fillId="0" borderId="0" xfId="17" quotePrefix="1" applyFont="1"/>
    <xf numFmtId="166" fontId="38" fillId="0" borderId="4" xfId="1" applyNumberFormat="1" applyFont="1" applyFill="1" applyBorder="1" applyAlignment="1">
      <alignment horizontal="right"/>
    </xf>
    <xf numFmtId="166" fontId="40" fillId="0" borderId="9" xfId="1" applyNumberFormat="1" applyFont="1" applyFill="1" applyBorder="1" applyAlignment="1">
      <alignment horizontal="center" wrapText="1"/>
    </xf>
    <xf numFmtId="166" fontId="40" fillId="0" borderId="10" xfId="1" applyNumberFormat="1" applyFont="1" applyFill="1" applyBorder="1"/>
    <xf numFmtId="0" fontId="39" fillId="0" borderId="0" xfId="17" quotePrefix="1" applyFont="1"/>
    <xf numFmtId="0" fontId="39" fillId="0" borderId="8" xfId="0" applyFont="1" applyBorder="1" applyAlignment="1">
      <alignment vertical="top"/>
    </xf>
    <xf numFmtId="0" fontId="39" fillId="0" borderId="9" xfId="17" applyFont="1" applyBorder="1"/>
    <xf numFmtId="0" fontId="40" fillId="0" borderId="9" xfId="17" applyFont="1" applyBorder="1" applyAlignment="1">
      <alignment horizontal="right"/>
    </xf>
    <xf numFmtId="0" fontId="39" fillId="0" borderId="1" xfId="17" applyFont="1" applyBorder="1"/>
    <xf numFmtId="0" fontId="39" fillId="0" borderId="5" xfId="17" applyFont="1" applyBorder="1"/>
    <xf numFmtId="166" fontId="39" fillId="0" borderId="12" xfId="1" applyNumberFormat="1" applyFont="1" applyFill="1" applyBorder="1"/>
    <xf numFmtId="166" fontId="39" fillId="0" borderId="6" xfId="1" applyNumberFormat="1" applyFont="1" applyFill="1" applyBorder="1"/>
    <xf numFmtId="166" fontId="40" fillId="0" borderId="8" xfId="1" applyNumberFormat="1" applyFont="1" applyFill="1" applyBorder="1"/>
    <xf numFmtId="166" fontId="40" fillId="0" borderId="9" xfId="1" applyNumberFormat="1" applyFont="1" applyFill="1" applyBorder="1" applyAlignment="1">
      <alignment wrapText="1"/>
    </xf>
    <xf numFmtId="0" fontId="40" fillId="0" borderId="22" xfId="17" applyFont="1" applyBorder="1" applyAlignment="1">
      <alignment wrapText="1"/>
    </xf>
    <xf numFmtId="0" fontId="40" fillId="0" borderId="24" xfId="17" applyFont="1" applyBorder="1"/>
    <xf numFmtId="166" fontId="40" fillId="0" borderId="25" xfId="1" applyNumberFormat="1" applyFont="1" applyFill="1" applyBorder="1" applyAlignment="1">
      <alignment horizontal="center" wrapText="1"/>
    </xf>
    <xf numFmtId="0" fontId="38" fillId="0" borderId="8" xfId="0" applyFont="1" applyBorder="1"/>
    <xf numFmtId="166" fontId="38" fillId="0" borderId="8" xfId="0" applyNumberFormat="1" applyFont="1" applyBorder="1"/>
    <xf numFmtId="0" fontId="40" fillId="0" borderId="0" xfId="17" applyFont="1" applyAlignment="1">
      <alignment horizontal="center"/>
    </xf>
    <xf numFmtId="0" fontId="40" fillId="0" borderId="0" xfId="17" applyFont="1" applyAlignment="1">
      <alignment horizontal="left"/>
    </xf>
    <xf numFmtId="166" fontId="40" fillId="0" borderId="8" xfId="1" applyNumberFormat="1" applyFont="1" applyFill="1" applyBorder="1" applyAlignment="1">
      <alignment horizontal="left"/>
    </xf>
    <xf numFmtId="166" fontId="40" fillId="0" borderId="7" xfId="1" applyNumberFormat="1" applyFont="1" applyFill="1" applyBorder="1"/>
    <xf numFmtId="0" fontId="40" fillId="0" borderId="22" xfId="17" applyFont="1" applyBorder="1" applyAlignment="1">
      <alignment horizontal="center"/>
    </xf>
    <xf numFmtId="166" fontId="40" fillId="0" borderId="25" xfId="1" applyNumberFormat="1" applyFont="1" applyFill="1" applyBorder="1" applyAlignment="1">
      <alignment horizontal="center"/>
    </xf>
    <xf numFmtId="166" fontId="40" fillId="0" borderId="4" xfId="1" applyNumberFormat="1" applyFont="1" applyFill="1" applyBorder="1" applyAlignment="1">
      <alignment horizontal="left"/>
    </xf>
    <xf numFmtId="166" fontId="40" fillId="0" borderId="4" xfId="1" applyNumberFormat="1" applyFont="1" applyFill="1" applyBorder="1"/>
    <xf numFmtId="166" fontId="40" fillId="0" borderId="6" xfId="1" applyNumberFormat="1" applyFont="1" applyFill="1" applyBorder="1"/>
    <xf numFmtId="0" fontId="39" fillId="0" borderId="0" xfId="17" applyFont="1" applyAlignment="1">
      <alignment horizontal="left"/>
    </xf>
    <xf numFmtId="0" fontId="39" fillId="0" borderId="12" xfId="17" applyFont="1" applyBorder="1" applyAlignment="1">
      <alignment horizontal="right"/>
    </xf>
    <xf numFmtId="166" fontId="40" fillId="0" borderId="4" xfId="1" applyNumberFormat="1" applyFont="1" applyFill="1" applyBorder="1" applyAlignment="1">
      <alignment horizontal="center" wrapText="1"/>
    </xf>
    <xf numFmtId="166" fontId="40" fillId="0" borderId="8" xfId="1" applyNumberFormat="1" applyFont="1" applyFill="1" applyBorder="1" applyAlignment="1">
      <alignment horizontal="center"/>
    </xf>
    <xf numFmtId="166" fontId="39" fillId="0" borderId="4" xfId="1" applyNumberFormat="1" applyFont="1" applyFill="1" applyBorder="1" applyAlignment="1">
      <alignment horizontal="left"/>
    </xf>
    <xf numFmtId="0" fontId="53" fillId="0" borderId="0" xfId="17" applyFont="1"/>
    <xf numFmtId="0" fontId="24" fillId="0" borderId="25" xfId="10" applyFont="1" applyBorder="1" applyAlignment="1">
      <alignment horizontal="center" vertical="center" wrapText="1"/>
    </xf>
    <xf numFmtId="166" fontId="40" fillId="0" borderId="4" xfId="1" applyNumberFormat="1" applyFont="1" applyFill="1" applyBorder="1" applyAlignment="1">
      <alignment horizontal="right" vertical="center" wrapText="1"/>
    </xf>
    <xf numFmtId="166" fontId="40" fillId="0" borderId="4" xfId="1" applyNumberFormat="1" applyFont="1" applyFill="1" applyBorder="1" applyAlignment="1">
      <alignment horizontal="center" vertical="center" wrapText="1"/>
    </xf>
    <xf numFmtId="0" fontId="38" fillId="0" borderId="4" xfId="0" applyFont="1" applyBorder="1"/>
    <xf numFmtId="0" fontId="38" fillId="0" borderId="10" xfId="0" applyFont="1" applyBorder="1"/>
    <xf numFmtId="166" fontId="40" fillId="0" borderId="33" xfId="1" applyNumberFormat="1" applyFont="1" applyFill="1" applyBorder="1"/>
    <xf numFmtId="0" fontId="40" fillId="0" borderId="8" xfId="0" applyFont="1" applyBorder="1"/>
    <xf numFmtId="0" fontId="39" fillId="0" borderId="0" xfId="17" applyFont="1" applyAlignment="1">
      <alignment horizontal="left" vertical="center" wrapText="1"/>
    </xf>
    <xf numFmtId="0" fontId="25" fillId="0" borderId="3" xfId="0" applyFont="1" applyBorder="1" applyAlignment="1">
      <alignment horizontal="left" vertical="center" wrapText="1"/>
    </xf>
    <xf numFmtId="0" fontId="24" fillId="0" borderId="3" xfId="0" applyFont="1" applyBorder="1" applyAlignment="1">
      <alignment horizontal="left" vertical="center" wrapText="1"/>
    </xf>
    <xf numFmtId="0" fontId="27" fillId="0" borderId="5" xfId="10" applyFont="1" applyBorder="1"/>
    <xf numFmtId="0" fontId="39" fillId="0" borderId="9" xfId="17" applyFont="1" applyBorder="1" applyAlignment="1">
      <alignment horizontal="left" vertical="center" wrapText="1"/>
    </xf>
    <xf numFmtId="166" fontId="39" fillId="0" borderId="9" xfId="17" applyNumberFormat="1" applyFont="1" applyBorder="1" applyAlignment="1">
      <alignment horizontal="left" vertical="center" wrapText="1"/>
    </xf>
    <xf numFmtId="0" fontId="40" fillId="0" borderId="9" xfId="17" applyFont="1" applyBorder="1" applyAlignment="1">
      <alignment horizontal="center" vertical="center" wrapText="1"/>
    </xf>
    <xf numFmtId="166" fontId="40" fillId="0" borderId="9" xfId="17" applyNumberFormat="1" applyFont="1" applyBorder="1" applyAlignment="1">
      <alignment horizontal="center" vertical="center" wrapText="1"/>
    </xf>
    <xf numFmtId="165" fontId="39" fillId="0" borderId="9" xfId="1" applyFont="1" applyFill="1" applyBorder="1" applyAlignment="1">
      <alignment horizontal="left" vertical="center" wrapText="1"/>
    </xf>
    <xf numFmtId="0" fontId="40" fillId="0" borderId="0" xfId="17" applyFont="1" applyAlignment="1">
      <alignment horizontal="left" vertical="center" wrapText="1"/>
    </xf>
    <xf numFmtId="166" fontId="26" fillId="0" borderId="4" xfId="2" applyNumberFormat="1" applyFont="1" applyFill="1" applyBorder="1" applyAlignment="1">
      <alignment horizontal="center" vertical="center" wrapText="1"/>
    </xf>
    <xf numFmtId="0" fontId="26" fillId="0" borderId="3" xfId="25" applyFont="1" applyBorder="1" applyAlignment="1">
      <alignment horizontal="left" vertical="center"/>
    </xf>
    <xf numFmtId="166" fontId="26" fillId="0" borderId="8" xfId="2" applyNumberFormat="1" applyFont="1" applyFill="1" applyBorder="1" applyAlignment="1">
      <alignment horizontal="center" vertical="center" wrapText="1"/>
    </xf>
    <xf numFmtId="0" fontId="26" fillId="0" borderId="11" xfId="25" applyFont="1" applyBorder="1" applyAlignment="1">
      <alignment horizontal="center" vertical="center"/>
    </xf>
    <xf numFmtId="0" fontId="26" fillId="0" borderId="3" xfId="7" applyFont="1" applyBorder="1" applyAlignment="1">
      <alignment horizontal="right"/>
    </xf>
    <xf numFmtId="166" fontId="26" fillId="0" borderId="9" xfId="26" applyNumberFormat="1" applyFont="1" applyFill="1" applyBorder="1" applyAlignment="1">
      <alignment horizontal="left" indent="1"/>
    </xf>
    <xf numFmtId="0" fontId="26" fillId="0" borderId="1" xfId="25" applyFont="1" applyBorder="1" applyAlignment="1">
      <alignment horizontal="left"/>
    </xf>
    <xf numFmtId="0" fontId="27" fillId="0" borderId="3" xfId="25" applyFont="1" applyBorder="1" applyAlignment="1">
      <alignment horizontal="left"/>
    </xf>
    <xf numFmtId="0" fontId="27" fillId="0" borderId="3" xfId="25" applyFont="1" applyBorder="1" applyAlignment="1">
      <alignment horizontal="right"/>
    </xf>
    <xf numFmtId="166" fontId="26" fillId="0" borderId="4" xfId="26" applyNumberFormat="1" applyFont="1" applyFill="1" applyBorder="1"/>
    <xf numFmtId="166" fontId="26" fillId="0" borderId="10" xfId="26" applyNumberFormat="1" applyFont="1" applyFill="1" applyBorder="1"/>
    <xf numFmtId="0" fontId="26" fillId="0" borderId="3" xfId="25" applyFont="1" applyBorder="1" applyAlignment="1">
      <alignment horizontal="left" wrapText="1"/>
    </xf>
    <xf numFmtId="0" fontId="27" fillId="0" borderId="31" xfId="25" applyFont="1" applyBorder="1" applyAlignment="1">
      <alignment horizontal="left"/>
    </xf>
    <xf numFmtId="0" fontId="27" fillId="0" borderId="4" xfId="0" applyFont="1" applyBorder="1" applyAlignment="1">
      <alignment horizontal="left"/>
    </xf>
    <xf numFmtId="164" fontId="27" fillId="0" borderId="0" xfId="26" applyNumberFormat="1" applyFont="1" applyFill="1" applyBorder="1" applyAlignment="1">
      <alignment horizontal="left"/>
    </xf>
    <xf numFmtId="0" fontId="27" fillId="0" borderId="4" xfId="0" applyFont="1" applyBorder="1" applyAlignment="1">
      <alignment horizontal="left" wrapText="1"/>
    </xf>
    <xf numFmtId="0" fontId="26" fillId="0" borderId="11" xfId="0" applyFont="1" applyBorder="1" applyAlignment="1">
      <alignment horizontal="left"/>
    </xf>
    <xf numFmtId="0" fontId="26" fillId="0" borderId="3" xfId="0" applyFont="1" applyBorder="1"/>
    <xf numFmtId="164" fontId="27" fillId="0" borderId="10" xfId="26" applyNumberFormat="1" applyFont="1" applyFill="1" applyBorder="1" applyAlignment="1">
      <alignment horizontal="left"/>
    </xf>
    <xf numFmtId="0" fontId="26" fillId="0" borderId="3" xfId="0" applyFont="1" applyBorder="1" applyAlignment="1">
      <alignment horizontal="center"/>
    </xf>
    <xf numFmtId="0" fontId="27" fillId="0" borderId="3" xfId="0" applyFont="1" applyBorder="1" applyAlignment="1">
      <alignment wrapText="1"/>
    </xf>
    <xf numFmtId="0" fontId="27" fillId="0" borderId="3" xfId="0" applyFont="1" applyBorder="1" applyAlignment="1">
      <alignment horizontal="left"/>
    </xf>
    <xf numFmtId="0" fontId="26" fillId="0" borderId="3" xfId="25" applyFont="1" applyBorder="1"/>
    <xf numFmtId="0" fontId="27" fillId="0" borderId="5" xfId="25" applyFont="1" applyBorder="1"/>
    <xf numFmtId="0" fontId="26" fillId="0" borderId="24" xfId="25" applyFont="1" applyBorder="1" applyAlignment="1">
      <alignment horizontal="center" vertical="center"/>
    </xf>
    <xf numFmtId="166" fontId="27" fillId="0" borderId="6" xfId="26" applyNumberFormat="1" applyFont="1" applyFill="1" applyBorder="1"/>
    <xf numFmtId="166" fontId="27" fillId="0" borderId="11" xfId="26" applyNumberFormat="1" applyFont="1" applyFill="1" applyBorder="1"/>
    <xf numFmtId="0" fontId="26" fillId="0" borderId="24" xfId="25" applyFont="1" applyBorder="1"/>
    <xf numFmtId="0" fontId="26" fillId="0" borderId="5" xfId="25" applyFont="1" applyBorder="1"/>
    <xf numFmtId="0" fontId="27" fillId="0" borderId="1" xfId="25" applyFont="1" applyBorder="1"/>
    <xf numFmtId="0" fontId="26" fillId="0" borderId="24" xfId="25" applyFont="1" applyBorder="1" applyAlignment="1">
      <alignment horizontal="center"/>
    </xf>
    <xf numFmtId="166" fontId="26" fillId="0" borderId="9" xfId="26" applyNumberFormat="1" applyFont="1" applyFill="1" applyBorder="1" applyAlignment="1">
      <alignment horizontal="center" wrapText="1"/>
    </xf>
    <xf numFmtId="0" fontId="26" fillId="0" borderId="3" xfId="25" applyFont="1" applyBorder="1" applyAlignment="1">
      <alignment horizontal="center"/>
    </xf>
    <xf numFmtId="0" fontId="26" fillId="0" borderId="4" xfId="25" applyFont="1" applyBorder="1" applyAlignment="1">
      <alignment horizontal="center"/>
    </xf>
    <xf numFmtId="0" fontId="27" fillId="0" borderId="3" xfId="25" applyFont="1" applyBorder="1" applyAlignment="1">
      <alignment wrapText="1"/>
    </xf>
    <xf numFmtId="0" fontId="26" fillId="0" borderId="5" xfId="25" applyFont="1" applyBorder="1" applyAlignment="1">
      <alignment wrapText="1"/>
    </xf>
    <xf numFmtId="165" fontId="27" fillId="0" borderId="4" xfId="1" applyFont="1" applyFill="1" applyBorder="1"/>
    <xf numFmtId="166" fontId="27" fillId="0" borderId="11" xfId="1" applyNumberFormat="1" applyFont="1" applyFill="1" applyBorder="1"/>
    <xf numFmtId="166" fontId="27" fillId="0" borderId="6" xfId="1" applyNumberFormat="1" applyFont="1" applyFill="1" applyBorder="1"/>
    <xf numFmtId="166" fontId="26" fillId="0" borderId="33" xfId="1" applyNumberFormat="1" applyFont="1" applyFill="1" applyBorder="1"/>
    <xf numFmtId="166" fontId="26" fillId="0" borderId="4" xfId="1" applyNumberFormat="1" applyFont="1" applyFill="1" applyBorder="1"/>
    <xf numFmtId="166" fontId="27" fillId="0" borderId="10" xfId="1" applyNumberFormat="1" applyFont="1" applyFill="1" applyBorder="1"/>
    <xf numFmtId="166" fontId="26" fillId="0" borderId="6" xfId="1" applyNumberFormat="1" applyFont="1" applyFill="1" applyBorder="1"/>
    <xf numFmtId="0" fontId="26" fillId="0" borderId="5" xfId="25" applyFont="1" applyBorder="1" applyAlignment="1">
      <alignment horizontal="center"/>
    </xf>
    <xf numFmtId="166" fontId="27" fillId="0" borderId="4" xfId="26" applyNumberFormat="1" applyFont="1" applyFill="1" applyBorder="1" applyAlignment="1">
      <alignment horizontal="center" wrapText="1"/>
    </xf>
    <xf numFmtId="0" fontId="26" fillId="0" borderId="9" xfId="25" applyFont="1" applyBorder="1" applyAlignment="1">
      <alignment horizontal="center"/>
    </xf>
    <xf numFmtId="0" fontId="26" fillId="0" borderId="3" xfId="25" applyFont="1" applyBorder="1" applyAlignment="1">
      <alignment wrapText="1"/>
    </xf>
    <xf numFmtId="0" fontId="26" fillId="0" borderId="5" xfId="25" applyFont="1" applyBorder="1" applyAlignment="1">
      <alignment horizontal="right"/>
    </xf>
    <xf numFmtId="0" fontId="25" fillId="0" borderId="3" xfId="10" applyFont="1" applyBorder="1" applyAlignment="1">
      <alignment wrapText="1"/>
    </xf>
    <xf numFmtId="0" fontId="25" fillId="0" borderId="41" xfId="10" applyFont="1" applyBorder="1"/>
    <xf numFmtId="168" fontId="25" fillId="0" borderId="42" xfId="11" applyNumberFormat="1" applyFont="1" applyFill="1" applyBorder="1" applyAlignment="1">
      <alignment horizontal="right"/>
    </xf>
    <xf numFmtId="0" fontId="24" fillId="0" borderId="43" xfId="11" applyNumberFormat="1" applyFont="1" applyFill="1" applyBorder="1" applyAlignment="1">
      <alignment horizontal="center" vertical="center" wrapText="1"/>
    </xf>
    <xf numFmtId="0" fontId="25" fillId="0" borderId="39" xfId="10" applyFont="1" applyBorder="1" applyAlignment="1">
      <alignment horizontal="center"/>
    </xf>
    <xf numFmtId="168" fontId="25" fillId="0" borderId="44" xfId="11" applyNumberFormat="1" applyFont="1" applyFill="1" applyBorder="1" applyAlignment="1">
      <alignment wrapText="1"/>
    </xf>
    <xf numFmtId="168" fontId="25" fillId="0" borderId="44" xfId="11" applyNumberFormat="1" applyFont="1" applyFill="1" applyBorder="1"/>
    <xf numFmtId="168" fontId="25" fillId="0" borderId="40" xfId="11" applyNumberFormat="1" applyFont="1" applyFill="1" applyBorder="1"/>
    <xf numFmtId="168" fontId="24" fillId="0" borderId="45" xfId="11" applyNumberFormat="1" applyFont="1" applyFill="1" applyBorder="1"/>
    <xf numFmtId="168" fontId="25" fillId="0" borderId="46" xfId="11" applyNumberFormat="1" applyFont="1" applyFill="1" applyBorder="1"/>
    <xf numFmtId="168" fontId="24" fillId="0" borderId="44" xfId="11" applyNumberFormat="1" applyFont="1" applyFill="1" applyBorder="1"/>
    <xf numFmtId="164" fontId="24" fillId="0" borderId="44" xfId="11" applyNumberFormat="1" applyFont="1" applyFill="1" applyBorder="1"/>
    <xf numFmtId="164" fontId="25" fillId="0" borderId="44" xfId="11" applyNumberFormat="1" applyFont="1" applyFill="1" applyBorder="1"/>
    <xf numFmtId="164" fontId="24" fillId="0" borderId="43" xfId="11" applyNumberFormat="1" applyFont="1" applyFill="1" applyBorder="1"/>
    <xf numFmtId="0" fontId="24" fillId="0" borderId="39" xfId="10" applyFont="1" applyBorder="1" applyAlignment="1">
      <alignment horizontal="center"/>
    </xf>
    <xf numFmtId="166" fontId="24" fillId="0" borderId="44" xfId="1" applyNumberFormat="1" applyFont="1" applyFill="1" applyBorder="1"/>
    <xf numFmtId="168" fontId="24" fillId="0" borderId="40" xfId="11" applyNumberFormat="1" applyFont="1" applyFill="1" applyBorder="1"/>
    <xf numFmtId="171" fontId="25" fillId="0" borderId="44" xfId="11" applyNumberFormat="1" applyFont="1" applyFill="1" applyBorder="1"/>
    <xf numFmtId="171" fontId="25" fillId="0" borderId="40" xfId="11" applyNumberFormat="1" applyFont="1" applyFill="1" applyBorder="1"/>
    <xf numFmtId="168" fontId="27" fillId="0" borderId="42" xfId="11" applyNumberFormat="1" applyFont="1" applyFill="1" applyBorder="1"/>
    <xf numFmtId="0" fontId="27" fillId="0" borderId="39" xfId="10" applyFont="1" applyBorder="1"/>
    <xf numFmtId="43" fontId="27" fillId="0" borderId="40" xfId="11" applyNumberFormat="1" applyFont="1" applyFill="1" applyBorder="1"/>
    <xf numFmtId="1" fontId="27" fillId="0" borderId="39" xfId="10" applyNumberFormat="1" applyFont="1" applyBorder="1"/>
    <xf numFmtId="0" fontId="25" fillId="0" borderId="40" xfId="0" applyFont="1" applyBorder="1"/>
    <xf numFmtId="43" fontId="25" fillId="0" borderId="40" xfId="11" applyNumberFormat="1" applyFont="1" applyFill="1" applyBorder="1"/>
    <xf numFmtId="1" fontId="27" fillId="0" borderId="39" xfId="13" applyNumberFormat="1" applyFont="1" applyBorder="1"/>
    <xf numFmtId="1" fontId="27" fillId="0" borderId="47" xfId="13" applyNumberFormat="1" applyFont="1" applyBorder="1"/>
    <xf numFmtId="1" fontId="27" fillId="0" borderId="48" xfId="13" applyNumberFormat="1" applyFont="1" applyBorder="1"/>
    <xf numFmtId="166" fontId="27" fillId="0" borderId="48" xfId="3" applyNumberFormat="1" applyFont="1" applyFill="1" applyBorder="1" applyAlignment="1"/>
    <xf numFmtId="0" fontId="28" fillId="0" borderId="48" xfId="13" applyFont="1" applyBorder="1"/>
    <xf numFmtId="166" fontId="25" fillId="0" borderId="48" xfId="3" applyNumberFormat="1" applyFont="1" applyFill="1" applyBorder="1"/>
    <xf numFmtId="43" fontId="25" fillId="0" borderId="49" xfId="11" applyNumberFormat="1" applyFont="1" applyFill="1" applyBorder="1"/>
    <xf numFmtId="0" fontId="24" fillId="0" borderId="3" xfId="10" applyFont="1" applyBorder="1" applyAlignment="1">
      <alignment horizontal="left" wrapText="1"/>
    </xf>
    <xf numFmtId="0" fontId="54" fillId="0" borderId="39" xfId="10" applyFont="1" applyBorder="1" applyAlignment="1">
      <alignment horizontal="center"/>
    </xf>
    <xf numFmtId="0" fontId="25" fillId="0" borderId="39" xfId="10" applyFont="1" applyBorder="1" applyAlignment="1">
      <alignment horizontal="center" vertical="center"/>
    </xf>
    <xf numFmtId="0" fontId="25" fillId="0" borderId="3" xfId="10" applyFont="1" applyBorder="1" applyAlignment="1">
      <alignment horizontal="left" wrapText="1"/>
    </xf>
    <xf numFmtId="164" fontId="24" fillId="0" borderId="3" xfId="11" applyNumberFormat="1" applyFont="1" applyFill="1" applyBorder="1"/>
    <xf numFmtId="0" fontId="24" fillId="0" borderId="39" xfId="10" applyFont="1" applyBorder="1" applyAlignment="1">
      <alignment horizontal="center" vertical="center"/>
    </xf>
    <xf numFmtId="0" fontId="27" fillId="0" borderId="41" xfId="10" applyFont="1" applyBorder="1"/>
    <xf numFmtId="168" fontId="24" fillId="0" borderId="3" xfId="11" applyNumberFormat="1" applyFont="1" applyFill="1" applyBorder="1"/>
    <xf numFmtId="164" fontId="24" fillId="0" borderId="50" xfId="11" applyNumberFormat="1" applyFont="1" applyFill="1" applyBorder="1"/>
    <xf numFmtId="166" fontId="24" fillId="0" borderId="50" xfId="1" applyNumberFormat="1" applyFont="1" applyFill="1" applyBorder="1"/>
    <xf numFmtId="168" fontId="24" fillId="0" borderId="51" xfId="11" applyNumberFormat="1" applyFont="1" applyFill="1" applyBorder="1"/>
    <xf numFmtId="0" fontId="27" fillId="3" borderId="3" xfId="0" applyFont="1" applyFill="1" applyBorder="1" applyAlignment="1">
      <alignment wrapText="1"/>
    </xf>
    <xf numFmtId="0" fontId="27" fillId="3" borderId="0" xfId="0" applyFont="1" applyFill="1"/>
    <xf numFmtId="0" fontId="25" fillId="3" borderId="4" xfId="10" applyFont="1" applyFill="1" applyBorder="1" applyAlignment="1">
      <alignment horizontal="center"/>
    </xf>
    <xf numFmtId="168" fontId="25" fillId="3" borderId="4" xfId="11" applyNumberFormat="1" applyFont="1" applyFill="1" applyBorder="1"/>
    <xf numFmtId="168" fontId="29" fillId="3" borderId="44" xfId="11" applyNumberFormat="1" applyFont="1" applyFill="1" applyBorder="1"/>
    <xf numFmtId="165" fontId="25" fillId="0" borderId="0" xfId="0" applyNumberFormat="1" applyFont="1"/>
    <xf numFmtId="0" fontId="25" fillId="3" borderId="3" xfId="10" applyFont="1" applyFill="1" applyBorder="1" applyAlignment="1">
      <alignment wrapText="1"/>
    </xf>
    <xf numFmtId="0" fontId="25" fillId="3" borderId="0" xfId="10" applyFont="1" applyFill="1"/>
    <xf numFmtId="166" fontId="25" fillId="3" borderId="4" xfId="1" applyNumberFormat="1" applyFont="1" applyFill="1" applyBorder="1"/>
    <xf numFmtId="166" fontId="25" fillId="3" borderId="44" xfId="1" applyNumberFormat="1" applyFont="1" applyFill="1" applyBorder="1"/>
    <xf numFmtId="168" fontId="24" fillId="0" borderId="0" xfId="0" applyNumberFormat="1" applyFont="1"/>
    <xf numFmtId="166" fontId="24" fillId="0" borderId="8" xfId="1" applyNumberFormat="1" applyFont="1" applyBorder="1"/>
    <xf numFmtId="166" fontId="25" fillId="0" borderId="8" xfId="1" applyNumberFormat="1" applyFont="1" applyBorder="1"/>
    <xf numFmtId="0" fontId="39" fillId="0" borderId="8" xfId="0" applyFont="1" applyBorder="1" applyAlignment="1">
      <alignment horizontal="left" vertical="top" wrapText="1" indent="1"/>
    </xf>
    <xf numFmtId="0" fontId="40" fillId="0" borderId="25" xfId="17" applyFont="1" applyBorder="1" applyAlignment="1">
      <alignment horizontal="right"/>
    </xf>
    <xf numFmtId="0" fontId="40" fillId="0" borderId="11" xfId="17" applyFont="1" applyBorder="1" applyAlignment="1">
      <alignment horizontal="center"/>
    </xf>
    <xf numFmtId="0" fontId="40" fillId="0" borderId="4" xfId="17" applyFont="1" applyBorder="1" applyAlignment="1">
      <alignment vertical="center" wrapText="1"/>
    </xf>
    <xf numFmtId="0" fontId="39" fillId="0" borderId="4" xfId="17" applyFont="1" applyBorder="1" applyAlignment="1">
      <alignment vertical="center" wrapText="1"/>
    </xf>
    <xf numFmtId="0" fontId="39" fillId="0" borderId="4" xfId="17" applyFont="1" applyBorder="1" applyAlignment="1">
      <alignment wrapText="1"/>
    </xf>
    <xf numFmtId="0" fontId="39" fillId="0" borderId="6" xfId="17" applyFont="1" applyBorder="1" applyAlignment="1">
      <alignment wrapText="1"/>
    </xf>
    <xf numFmtId="165" fontId="39" fillId="0" borderId="0" xfId="1" applyFont="1" applyFill="1" applyBorder="1" applyAlignment="1">
      <alignment horizontal="left" vertical="center" wrapText="1"/>
    </xf>
    <xf numFmtId="166" fontId="27" fillId="0" borderId="11" xfId="1" applyNumberFormat="1" applyFont="1" applyBorder="1"/>
    <xf numFmtId="166" fontId="40" fillId="0" borderId="9" xfId="1" applyNumberFormat="1" applyFont="1" applyFill="1" applyBorder="1" applyAlignment="1">
      <alignment horizontal="center" vertical="center" wrapText="1"/>
    </xf>
    <xf numFmtId="0" fontId="40" fillId="0" borderId="9" xfId="17" applyFont="1" applyBorder="1" applyAlignment="1">
      <alignment horizontal="center"/>
    </xf>
    <xf numFmtId="0" fontId="40" fillId="0" borderId="25" xfId="17" applyFont="1" applyBorder="1" applyAlignment="1">
      <alignment horizontal="center"/>
    </xf>
    <xf numFmtId="0" fontId="53" fillId="0" borderId="0" xfId="17" applyFont="1" applyAlignment="1">
      <alignment horizontal="left"/>
    </xf>
    <xf numFmtId="0" fontId="53" fillId="0" borderId="4" xfId="17" applyFont="1" applyBorder="1" applyAlignment="1">
      <alignment horizontal="left"/>
    </xf>
    <xf numFmtId="0" fontId="37" fillId="0" borderId="9" xfId="0" applyFont="1" applyBorder="1" applyAlignment="1">
      <alignment horizontal="left" vertical="center" wrapText="1" indent="3"/>
    </xf>
    <xf numFmtId="0" fontId="45" fillId="0" borderId="11" xfId="0" applyFont="1" applyBorder="1" applyAlignment="1">
      <alignment horizontal="center" vertical="center" wrapText="1"/>
    </xf>
    <xf numFmtId="0" fontId="39" fillId="0" borderId="9" xfId="17" applyFont="1" applyBorder="1" applyAlignment="1">
      <alignment horizontal="center" wrapText="1"/>
    </xf>
    <xf numFmtId="0" fontId="25" fillId="0" borderId="0" xfId="10" applyFont="1" applyAlignment="1">
      <alignment horizontal="center"/>
    </xf>
    <xf numFmtId="43" fontId="27" fillId="0" borderId="0" xfId="11" applyNumberFormat="1" applyFont="1" applyFill="1" applyBorder="1"/>
    <xf numFmtId="1" fontId="27" fillId="0" borderId="0" xfId="10" applyNumberFormat="1" applyFont="1"/>
    <xf numFmtId="0" fontId="27" fillId="0" borderId="0" xfId="0" applyFont="1" applyAlignment="1">
      <alignment wrapText="1"/>
    </xf>
    <xf numFmtId="0" fontId="25" fillId="0" borderId="0" xfId="10" applyFont="1" applyAlignment="1">
      <alignment wrapText="1"/>
    </xf>
    <xf numFmtId="0" fontId="24" fillId="0" borderId="0" xfId="10" applyFont="1" applyAlignment="1">
      <alignment horizontal="left" wrapText="1"/>
    </xf>
    <xf numFmtId="0" fontId="25" fillId="0" borderId="0" xfId="10" applyFont="1" applyAlignment="1">
      <alignment horizontal="left" wrapText="1"/>
    </xf>
    <xf numFmtId="0" fontId="24" fillId="0" borderId="0" xfId="0" applyFont="1" applyAlignment="1">
      <alignment horizontal="center" wrapText="1"/>
    </xf>
    <xf numFmtId="168" fontId="27" fillId="0" borderId="0" xfId="11" applyNumberFormat="1" applyFont="1" applyFill="1" applyBorder="1"/>
    <xf numFmtId="166" fontId="27" fillId="0" borderId="0" xfId="0" applyNumberFormat="1" applyFont="1" applyAlignment="1">
      <alignment horizontal="right"/>
    </xf>
    <xf numFmtId="0" fontId="25" fillId="0" borderId="11" xfId="10" applyFont="1" applyBorder="1" applyAlignment="1">
      <alignment horizontal="center"/>
    </xf>
    <xf numFmtId="166" fontId="24" fillId="0" borderId="9" xfId="3" applyNumberFormat="1" applyFont="1" applyFill="1" applyBorder="1"/>
    <xf numFmtId="0" fontId="25" fillId="0" borderId="0" xfId="10" applyFont="1" applyAlignment="1">
      <alignment horizontal="left" indent="2"/>
    </xf>
    <xf numFmtId="0" fontId="25" fillId="0" borderId="0" xfId="10" applyFont="1" applyAlignment="1">
      <alignment horizontal="left" indent="4"/>
    </xf>
    <xf numFmtId="0" fontId="54" fillId="0" borderId="4" xfId="10" applyFont="1" applyBorder="1" applyAlignment="1">
      <alignment horizontal="center"/>
    </xf>
    <xf numFmtId="0" fontId="24" fillId="0" borderId="4" xfId="10" applyFont="1" applyBorder="1" applyAlignment="1">
      <alignment horizontal="center" vertical="center"/>
    </xf>
    <xf numFmtId="0" fontId="25" fillId="0" borderId="4" xfId="10" applyFont="1" applyBorder="1" applyAlignment="1">
      <alignment horizontal="center" vertical="center"/>
    </xf>
    <xf numFmtId="170" fontId="25" fillId="0" borderId="6" xfId="10" applyNumberFormat="1" applyFont="1" applyBorder="1" applyAlignment="1">
      <alignment horizontal="center"/>
    </xf>
    <xf numFmtId="165" fontId="26" fillId="0" borderId="2" xfId="3" applyFont="1" applyFill="1" applyBorder="1" applyAlignment="1"/>
    <xf numFmtId="165" fontId="27" fillId="0" borderId="8" xfId="3" applyFont="1" applyFill="1" applyBorder="1" applyAlignment="1">
      <alignment horizontal="left" indent="1"/>
    </xf>
    <xf numFmtId="165" fontId="26" fillId="0" borderId="8" xfId="3" applyFont="1" applyFill="1" applyBorder="1" applyAlignment="1">
      <alignment horizontal="left" indent="2"/>
    </xf>
    <xf numFmtId="165" fontId="26" fillId="0" borderId="8" xfId="3" applyFont="1" applyFill="1" applyBorder="1" applyAlignment="1">
      <alignment horizontal="left" indent="1"/>
    </xf>
    <xf numFmtId="165" fontId="27" fillId="0" borderId="8" xfId="3" applyFont="1" applyFill="1" applyBorder="1" applyAlignment="1">
      <alignment horizontal="left" indent="2"/>
    </xf>
    <xf numFmtId="165" fontId="27" fillId="0" borderId="8" xfId="3" quotePrefix="1" applyFont="1" applyFill="1" applyBorder="1" applyAlignment="1">
      <alignment horizontal="left" indent="2"/>
    </xf>
    <xf numFmtId="165" fontId="26" fillId="0" borderId="8" xfId="3" quotePrefix="1" applyFont="1" applyFill="1" applyBorder="1" applyAlignment="1">
      <alignment horizontal="left" indent="2"/>
    </xf>
    <xf numFmtId="165" fontId="26" fillId="0" borderId="8" xfId="3" applyFont="1" applyFill="1" applyBorder="1" applyAlignment="1"/>
    <xf numFmtId="165" fontId="27" fillId="0" borderId="8" xfId="3" applyFont="1" applyFill="1" applyBorder="1" applyAlignment="1"/>
    <xf numFmtId="0" fontId="24" fillId="0" borderId="5" xfId="0" applyFont="1" applyBorder="1" applyAlignment="1">
      <alignment wrapText="1"/>
    </xf>
    <xf numFmtId="165" fontId="26" fillId="0" borderId="7" xfId="3" applyFont="1" applyFill="1" applyBorder="1" applyAlignment="1"/>
    <xf numFmtId="165" fontId="26" fillId="0" borderId="3" xfId="3" applyFont="1" applyFill="1" applyBorder="1" applyAlignment="1">
      <alignment horizontal="left"/>
    </xf>
    <xf numFmtId="0" fontId="25" fillId="0" borderId="23" xfId="0" applyFont="1" applyBorder="1" applyAlignment="1">
      <alignment vertical="center" wrapText="1"/>
    </xf>
    <xf numFmtId="0" fontId="25" fillId="0" borderId="1" xfId="0" applyFont="1" applyBorder="1" applyAlignment="1">
      <alignment vertical="center"/>
    </xf>
    <xf numFmtId="0" fontId="24" fillId="0" borderId="5" xfId="0" applyFont="1" applyBorder="1" applyAlignment="1">
      <alignment vertical="center"/>
    </xf>
    <xf numFmtId="0" fontId="25" fillId="0" borderId="12" xfId="0" applyFont="1" applyBorder="1"/>
    <xf numFmtId="0" fontId="38" fillId="0" borderId="25" xfId="0" applyFont="1" applyBorder="1"/>
    <xf numFmtId="0" fontId="27" fillId="0" borderId="3" xfId="7" applyFont="1" applyBorder="1" applyAlignment="1">
      <alignment horizontal="left" indent="1"/>
    </xf>
    <xf numFmtId="0" fontId="40" fillId="0" borderId="24" xfId="17" applyFont="1" applyBorder="1" applyAlignment="1">
      <alignment horizontal="center" vertical="center"/>
    </xf>
    <xf numFmtId="0" fontId="40" fillId="0" borderId="0" xfId="17" applyFont="1" applyAlignment="1">
      <alignment horizontal="left" vertical="center"/>
    </xf>
    <xf numFmtId="0" fontId="40" fillId="0" borderId="4" xfId="0" applyFont="1" applyBorder="1" applyAlignment="1">
      <alignment horizontal="center"/>
    </xf>
    <xf numFmtId="0" fontId="39" fillId="0" borderId="4" xfId="0" applyFont="1" applyBorder="1"/>
    <xf numFmtId="0" fontId="39" fillId="0" borderId="0" xfId="21" applyFont="1" applyAlignment="1">
      <alignment wrapText="1"/>
    </xf>
    <xf numFmtId="0" fontId="39" fillId="0" borderId="0" xfId="21" applyFont="1"/>
    <xf numFmtId="0" fontId="40" fillId="0" borderId="0" xfId="0" applyFont="1" applyAlignment="1">
      <alignment horizontal="center"/>
    </xf>
    <xf numFmtId="0" fontId="53" fillId="0" borderId="0" xfId="17" applyFont="1" applyAlignment="1">
      <alignment horizontal="left" vertical="center"/>
    </xf>
    <xf numFmtId="0" fontId="53" fillId="0" borderId="0" xfId="17" applyFont="1" applyAlignment="1">
      <alignment vertical="center"/>
    </xf>
    <xf numFmtId="0" fontId="39" fillId="0" borderId="0" xfId="17" quotePrefix="1" applyFont="1" applyAlignment="1">
      <alignment vertical="center"/>
    </xf>
    <xf numFmtId="166" fontId="39" fillId="0" borderId="4" xfId="1" applyNumberFormat="1" applyFont="1" applyBorder="1"/>
    <xf numFmtId="0" fontId="39" fillId="0" borderId="6" xfId="0" applyFont="1" applyBorder="1"/>
    <xf numFmtId="166" fontId="39" fillId="0" borderId="6" xfId="1" applyNumberFormat="1" applyFont="1" applyBorder="1"/>
    <xf numFmtId="166" fontId="40" fillId="0" borderId="10" xfId="1" applyNumberFormat="1" applyFont="1" applyBorder="1"/>
    <xf numFmtId="0" fontId="40" fillId="0" borderId="0" xfId="21" applyFont="1" applyAlignment="1">
      <alignment horizontal="center"/>
    </xf>
    <xf numFmtId="0" fontId="53" fillId="0" borderId="0" xfId="17" applyFont="1" applyAlignment="1">
      <alignment vertical="center" wrapText="1"/>
    </xf>
    <xf numFmtId="0" fontId="39" fillId="0" borderId="0" xfId="21" applyFont="1" applyAlignment="1">
      <alignment horizontal="left"/>
    </xf>
    <xf numFmtId="0" fontId="53" fillId="0" borderId="0" xfId="21" applyFont="1" applyAlignment="1">
      <alignment horizontal="left"/>
    </xf>
    <xf numFmtId="0" fontId="39" fillId="0" borderId="12" xfId="21" applyFont="1" applyBorder="1"/>
    <xf numFmtId="0" fontId="40" fillId="0" borderId="9" xfId="0" applyFont="1" applyBorder="1"/>
    <xf numFmtId="0" fontId="40" fillId="0" borderId="22" xfId="0" applyFont="1" applyBorder="1"/>
    <xf numFmtId="166" fontId="40" fillId="0" borderId="30" xfId="1" applyNumberFormat="1" applyFont="1" applyFill="1" applyBorder="1"/>
    <xf numFmtId="166" fontId="39" fillId="0" borderId="30" xfId="1" applyNumberFormat="1" applyFont="1" applyFill="1" applyBorder="1"/>
    <xf numFmtId="166" fontId="39" fillId="0" borderId="3" xfId="1" applyNumberFormat="1" applyFont="1" applyFill="1" applyBorder="1"/>
    <xf numFmtId="166" fontId="39" fillId="0" borderId="32" xfId="1" applyNumberFormat="1" applyFont="1" applyFill="1" applyBorder="1"/>
    <xf numFmtId="166" fontId="40" fillId="0" borderId="32" xfId="1" applyNumberFormat="1" applyFont="1" applyFill="1" applyBorder="1"/>
    <xf numFmtId="0" fontId="40" fillId="0" borderId="12" xfId="17" applyFont="1" applyBorder="1" applyAlignment="1">
      <alignment horizontal="center"/>
    </xf>
    <xf numFmtId="166" fontId="40" fillId="0" borderId="31" xfId="1" applyNumberFormat="1" applyFont="1" applyFill="1" applyBorder="1"/>
    <xf numFmtId="0" fontId="40" fillId="0" borderId="12" xfId="0" applyFont="1" applyBorder="1" applyAlignment="1">
      <alignment vertical="center"/>
    </xf>
    <xf numFmtId="0" fontId="53" fillId="0" borderId="8" xfId="0" applyFont="1" applyBorder="1" applyAlignment="1">
      <alignment vertical="center" wrapText="1"/>
    </xf>
    <xf numFmtId="166" fontId="39" fillId="0" borderId="4" xfId="1" applyNumberFormat="1" applyFont="1" applyFill="1" applyBorder="1" applyAlignment="1">
      <alignment vertical="center" wrapText="1"/>
    </xf>
    <xf numFmtId="0" fontId="39" fillId="0" borderId="8" xfId="0" applyFont="1" applyBorder="1" applyAlignment="1">
      <alignment vertical="center" wrapText="1"/>
    </xf>
    <xf numFmtId="166" fontId="39" fillId="0" borderId="4" xfId="1" applyNumberFormat="1" applyFont="1" applyFill="1" applyBorder="1" applyAlignment="1">
      <alignment horizontal="center" vertical="center" wrapText="1"/>
    </xf>
    <xf numFmtId="0" fontId="39" fillId="0" borderId="8" xfId="0" applyFont="1" applyBorder="1" applyAlignment="1">
      <alignment horizontal="left" vertical="center" wrapText="1" indent="4"/>
    </xf>
    <xf numFmtId="0" fontId="40" fillId="0" borderId="7" xfId="0" applyFont="1" applyBorder="1" applyAlignment="1">
      <alignment vertical="center" wrapText="1"/>
    </xf>
    <xf numFmtId="0" fontId="40" fillId="0" borderId="12" xfId="17" applyFont="1" applyBorder="1"/>
    <xf numFmtId="0" fontId="40" fillId="0" borderId="25" xfId="17" applyFont="1" applyBorder="1" applyAlignment="1">
      <alignment vertical="center"/>
    </xf>
    <xf numFmtId="0" fontId="40" fillId="0" borderId="7" xfId="0" quotePrefix="1" applyFont="1" applyBorder="1" applyAlignment="1">
      <alignment horizontal="center"/>
    </xf>
    <xf numFmtId="0" fontId="40" fillId="0" borderId="8" xfId="17" applyFont="1" applyBorder="1" applyAlignment="1">
      <alignment vertical="center"/>
    </xf>
    <xf numFmtId="166" fontId="40" fillId="0" borderId="8" xfId="1" applyNumberFormat="1" applyFont="1" applyFill="1" applyBorder="1" applyAlignment="1">
      <alignment horizontal="center" wrapText="1"/>
    </xf>
    <xf numFmtId="0" fontId="39" fillId="0" borderId="0" xfId="0" applyFont="1" applyAlignment="1">
      <alignment vertical="center" wrapText="1"/>
    </xf>
    <xf numFmtId="166" fontId="40" fillId="0" borderId="4" xfId="1" applyNumberFormat="1" applyFont="1" applyFill="1" applyBorder="1" applyAlignment="1">
      <alignment horizontal="right"/>
    </xf>
    <xf numFmtId="0" fontId="40" fillId="0" borderId="12" xfId="0" applyFont="1" applyBorder="1" applyAlignment="1">
      <alignment vertical="center" wrapText="1"/>
    </xf>
    <xf numFmtId="166" fontId="40" fillId="0" borderId="10" xfId="1" applyNumberFormat="1" applyFont="1" applyFill="1" applyBorder="1" applyAlignment="1">
      <alignment horizontal="right"/>
    </xf>
    <xf numFmtId="0" fontId="40" fillId="0" borderId="0" xfId="0" applyFont="1" applyAlignment="1">
      <alignment vertical="center" wrapText="1"/>
    </xf>
    <xf numFmtId="0" fontId="53" fillId="0" borderId="0" xfId="0" applyFont="1" applyAlignment="1">
      <alignment vertical="center" wrapText="1"/>
    </xf>
    <xf numFmtId="0" fontId="39" fillId="0" borderId="0" xfId="0" quotePrefix="1" applyFont="1" applyAlignment="1">
      <alignment horizontal="left" indent="1"/>
    </xf>
    <xf numFmtId="0" fontId="40" fillId="0" borderId="12" xfId="0" applyFont="1" applyBorder="1" applyAlignment="1">
      <alignment horizontal="center" vertical="center" wrapText="1"/>
    </xf>
    <xf numFmtId="0" fontId="40" fillId="0" borderId="0" xfId="0" applyFont="1" applyAlignment="1">
      <alignment horizontal="center" vertical="center" wrapText="1"/>
    </xf>
    <xf numFmtId="0" fontId="40" fillId="0" borderId="25" xfId="0" applyFont="1" applyBorder="1" applyAlignment="1">
      <alignment horizontal="center" vertical="center" wrapText="1"/>
    </xf>
    <xf numFmtId="166" fontId="40" fillId="0" borderId="10" xfId="1" applyNumberFormat="1" applyFont="1" applyFill="1" applyBorder="1" applyAlignment="1">
      <alignment horizontal="center" vertical="center" wrapText="1"/>
    </xf>
    <xf numFmtId="166" fontId="40" fillId="0" borderId="0" xfId="1" applyNumberFormat="1" applyFont="1" applyFill="1" applyBorder="1" applyAlignment="1">
      <alignment horizontal="right"/>
    </xf>
    <xf numFmtId="0" fontId="39" fillId="0" borderId="22" xfId="0" applyFont="1" applyBorder="1"/>
    <xf numFmtId="0" fontId="39" fillId="0" borderId="12" xfId="0" applyFont="1" applyBorder="1"/>
    <xf numFmtId="0" fontId="39" fillId="0" borderId="0" xfId="0" applyFont="1" applyAlignment="1">
      <alignment wrapText="1"/>
    </xf>
    <xf numFmtId="0" fontId="40" fillId="0" borderId="9" xfId="0" applyFont="1" applyBorder="1" applyAlignment="1">
      <alignment horizontal="center"/>
    </xf>
    <xf numFmtId="166" fontId="40" fillId="0" borderId="9" xfId="0" applyNumberFormat="1" applyFont="1" applyBorder="1" applyAlignment="1">
      <alignment horizontal="center" wrapText="1"/>
    </xf>
    <xf numFmtId="0" fontId="40" fillId="0" borderId="24" xfId="0" applyFont="1" applyBorder="1" applyAlignment="1">
      <alignment horizontal="center"/>
    </xf>
    <xf numFmtId="166" fontId="40" fillId="0" borderId="9" xfId="1" applyNumberFormat="1" applyFont="1" applyBorder="1"/>
    <xf numFmtId="0" fontId="40" fillId="0" borderId="4" xfId="0" applyFont="1" applyBorder="1" applyAlignment="1">
      <alignment wrapText="1"/>
    </xf>
    <xf numFmtId="0" fontId="26" fillId="0" borderId="3" xfId="0" applyFont="1" applyBorder="1" applyAlignment="1">
      <alignment horizontal="right"/>
    </xf>
    <xf numFmtId="0" fontId="26" fillId="0" borderId="4" xfId="0" applyFont="1" applyBorder="1" applyAlignment="1">
      <alignment horizontal="right"/>
    </xf>
    <xf numFmtId="168" fontId="26" fillId="0" borderId="9" xfId="11" applyNumberFormat="1" applyFont="1" applyFill="1" applyBorder="1"/>
    <xf numFmtId="168" fontId="27" fillId="0" borderId="4" xfId="11" applyNumberFormat="1" applyFont="1" applyFill="1" applyBorder="1"/>
    <xf numFmtId="0" fontId="27" fillId="0" borderId="0" xfId="27" applyFont="1" applyAlignment="1">
      <alignment horizontal="right"/>
    </xf>
    <xf numFmtId="0" fontId="28" fillId="0" borderId="7" xfId="17" applyFont="1" applyBorder="1" applyAlignment="1">
      <alignment wrapText="1"/>
    </xf>
    <xf numFmtId="0" fontId="27" fillId="0" borderId="0" xfId="17" applyFont="1"/>
    <xf numFmtId="0" fontId="27" fillId="0" borderId="0" xfId="17" applyFont="1" applyAlignment="1">
      <alignment wrapText="1"/>
    </xf>
    <xf numFmtId="166" fontId="37" fillId="0" borderId="9" xfId="1" applyNumberFormat="1" applyFont="1" applyFill="1" applyBorder="1" applyAlignment="1">
      <alignment horizontal="left" vertical="center" wrapText="1" indent="4"/>
    </xf>
    <xf numFmtId="0" fontId="37" fillId="0" borderId="11" xfId="0" applyFont="1" applyBorder="1" applyAlignment="1">
      <alignment horizontal="center" vertical="center" wrapText="1"/>
    </xf>
    <xf numFmtId="0" fontId="37" fillId="0" borderId="6" xfId="0" applyFont="1" applyBorder="1" applyAlignment="1">
      <alignment horizontal="center" vertical="center" wrapText="1"/>
    </xf>
    <xf numFmtId="166" fontId="36" fillId="0" borderId="0" xfId="1" applyNumberFormat="1" applyFont="1" applyFill="1" applyBorder="1" applyAlignment="1">
      <alignment vertical="center" wrapText="1"/>
    </xf>
    <xf numFmtId="166" fontId="38" fillId="0" borderId="0" xfId="1" applyNumberFormat="1" applyFont="1" applyFill="1" applyBorder="1" applyAlignment="1">
      <alignment horizontal="center" vertical="center" wrapText="1"/>
    </xf>
    <xf numFmtId="0" fontId="37" fillId="0" borderId="11" xfId="0" applyFont="1" applyBorder="1" applyAlignment="1">
      <alignment vertical="center" wrapText="1"/>
    </xf>
    <xf numFmtId="0" fontId="38" fillId="0" borderId="4" xfId="0" applyFont="1" applyBorder="1" applyAlignment="1">
      <alignment vertical="center" wrapText="1"/>
    </xf>
    <xf numFmtId="0" fontId="37" fillId="0" borderId="4" xfId="0" applyFont="1" applyBorder="1" applyAlignment="1">
      <alignment vertical="center" wrapText="1"/>
    </xf>
    <xf numFmtId="166" fontId="36" fillId="0" borderId="11" xfId="1" applyNumberFormat="1" applyFont="1" applyFill="1" applyBorder="1" applyAlignment="1">
      <alignment vertical="center" wrapText="1"/>
    </xf>
    <xf numFmtId="166" fontId="38" fillId="0" borderId="4" xfId="1" applyNumberFormat="1" applyFont="1" applyFill="1" applyBorder="1" applyAlignment="1">
      <alignment horizontal="left" vertical="center" wrapText="1" indent="4"/>
    </xf>
    <xf numFmtId="166" fontId="36" fillId="0" borderId="4" xfId="1" applyNumberFormat="1" applyFont="1" applyFill="1" applyBorder="1" applyAlignment="1">
      <alignment vertical="center" wrapText="1"/>
    </xf>
    <xf numFmtId="166" fontId="38" fillId="0" borderId="4" xfId="1" applyNumberFormat="1" applyFont="1" applyFill="1" applyBorder="1" applyAlignment="1">
      <alignment horizontal="right" vertical="center" wrapText="1"/>
    </xf>
    <xf numFmtId="166" fontId="37" fillId="0" borderId="22" xfId="1" applyNumberFormat="1" applyFont="1" applyFill="1" applyBorder="1" applyAlignment="1">
      <alignment horizontal="left" vertical="center" wrapText="1" indent="4"/>
    </xf>
    <xf numFmtId="0" fontId="38" fillId="0" borderId="6" xfId="0" applyFont="1" applyBorder="1" applyAlignment="1">
      <alignment horizontal="center" vertical="center" wrapText="1"/>
    </xf>
    <xf numFmtId="0" fontId="36" fillId="0" borderId="0" xfId="0" applyFont="1" applyAlignment="1">
      <alignment vertical="center" wrapText="1"/>
    </xf>
    <xf numFmtId="0" fontId="38" fillId="0" borderId="0" xfId="0" applyFont="1" applyAlignment="1">
      <alignment horizontal="center" vertical="center" wrapText="1"/>
    </xf>
    <xf numFmtId="0" fontId="38" fillId="0" borderId="7" xfId="0" applyFont="1" applyBorder="1" applyAlignment="1">
      <alignment horizontal="center" vertical="center" wrapText="1"/>
    </xf>
    <xf numFmtId="0" fontId="37" fillId="0" borderId="3" xfId="0" applyFont="1" applyBorder="1" applyAlignment="1">
      <alignment vertical="center" wrapText="1"/>
    </xf>
    <xf numFmtId="0" fontId="38" fillId="0" borderId="3" xfId="0" applyFont="1" applyBorder="1" applyAlignment="1">
      <alignment vertical="center" wrapText="1"/>
    </xf>
    <xf numFmtId="0" fontId="37" fillId="0" borderId="5" xfId="0" applyFont="1" applyBorder="1" applyAlignment="1">
      <alignment vertical="center" wrapText="1"/>
    </xf>
    <xf numFmtId="0" fontId="38" fillId="0" borderId="12" xfId="0" applyFont="1" applyBorder="1"/>
    <xf numFmtId="0" fontId="38" fillId="0" borderId="7" xfId="0" applyFont="1" applyBorder="1"/>
    <xf numFmtId="0" fontId="37" fillId="0" borderId="24" xfId="0" applyFont="1" applyBorder="1" applyAlignment="1">
      <alignment horizontal="center" vertical="center" wrapText="1"/>
    </xf>
    <xf numFmtId="0" fontId="38" fillId="0" borderId="22" xfId="0" applyFont="1" applyBorder="1"/>
    <xf numFmtId="0" fontId="36" fillId="0" borderId="11" xfId="0" applyFont="1" applyBorder="1" applyAlignment="1">
      <alignment vertical="center" wrapText="1"/>
    </xf>
    <xf numFmtId="0" fontId="38" fillId="0" borderId="4" xfId="0" applyFont="1" applyBorder="1" applyAlignment="1">
      <alignment horizontal="center" vertical="center" wrapText="1"/>
    </xf>
    <xf numFmtId="0" fontId="38" fillId="0" borderId="24" xfId="0" applyFont="1" applyBorder="1" applyAlignment="1">
      <alignment horizontal="center" vertical="center" wrapText="1"/>
    </xf>
    <xf numFmtId="0" fontId="37" fillId="0" borderId="25" xfId="0" applyFont="1" applyBorder="1" applyAlignment="1">
      <alignment horizontal="left" vertical="center" wrapText="1" indent="3"/>
    </xf>
    <xf numFmtId="0" fontId="36" fillId="0" borderId="8" xfId="0" applyFont="1" applyBorder="1" applyAlignment="1">
      <alignment vertical="center" wrapText="1"/>
    </xf>
    <xf numFmtId="0" fontId="38" fillId="0" borderId="8" xfId="0" applyFont="1" applyBorder="1" applyAlignment="1">
      <alignment horizontal="center" vertical="center" wrapText="1"/>
    </xf>
    <xf numFmtId="0" fontId="38" fillId="0" borderId="5" xfId="0" applyFont="1" applyBorder="1" applyAlignment="1">
      <alignment vertical="center" wrapText="1"/>
    </xf>
    <xf numFmtId="0" fontId="36" fillId="0" borderId="4" xfId="0" applyFont="1" applyBorder="1" applyAlignment="1">
      <alignment vertical="center" wrapText="1"/>
    </xf>
    <xf numFmtId="0" fontId="27" fillId="0" borderId="1" xfId="27" applyFont="1" applyBorder="1"/>
    <xf numFmtId="0" fontId="27" fillId="0" borderId="11" xfId="27" applyFont="1" applyBorder="1" applyAlignment="1">
      <alignment horizontal="center"/>
    </xf>
    <xf numFmtId="0" fontId="27" fillId="0" borderId="23" xfId="27" applyFont="1" applyBorder="1"/>
    <xf numFmtId="0" fontId="27" fillId="0" borderId="23" xfId="27" applyFont="1" applyBorder="1" applyAlignment="1">
      <alignment horizontal="center"/>
    </xf>
    <xf numFmtId="0" fontId="27" fillId="0" borderId="2" xfId="27" applyFont="1" applyBorder="1" applyAlignment="1">
      <alignment horizontal="center"/>
    </xf>
    <xf numFmtId="0" fontId="27" fillId="0" borderId="5" xfId="27" applyFont="1" applyBorder="1"/>
    <xf numFmtId="14" fontId="27" fillId="0" borderId="6" xfId="27" applyNumberFormat="1" applyFont="1" applyBorder="1" applyAlignment="1">
      <alignment horizontal="center"/>
    </xf>
    <xf numFmtId="0" fontId="27" fillId="0" borderId="12" xfId="27" applyFont="1" applyBorder="1"/>
    <xf numFmtId="0" fontId="27" fillId="0" borderId="9" xfId="27" applyFont="1" applyBorder="1" applyAlignment="1">
      <alignment horizontal="center"/>
    </xf>
    <xf numFmtId="14" fontId="27" fillId="0" borderId="12" xfId="27" applyNumberFormat="1" applyFont="1" applyBorder="1" applyAlignment="1">
      <alignment horizontal="center"/>
    </xf>
    <xf numFmtId="0" fontId="27" fillId="0" borderId="6" xfId="27" applyFont="1" applyBorder="1" applyAlignment="1">
      <alignment horizontal="center"/>
    </xf>
    <xf numFmtId="14" fontId="27" fillId="0" borderId="7" xfId="27" applyNumberFormat="1" applyFont="1" applyBorder="1" applyAlignment="1">
      <alignment horizontal="center"/>
    </xf>
    <xf numFmtId="168" fontId="27" fillId="0" borderId="4" xfId="3" applyNumberFormat="1" applyFont="1" applyBorder="1"/>
    <xf numFmtId="9" fontId="27" fillId="0" borderId="0" xfId="27" applyNumberFormat="1" applyFont="1"/>
    <xf numFmtId="0" fontId="26" fillId="0" borderId="24" xfId="27" applyFont="1" applyBorder="1"/>
    <xf numFmtId="166" fontId="26" fillId="0" borderId="9" xfId="3" applyNumberFormat="1" applyFont="1" applyBorder="1"/>
    <xf numFmtId="166" fontId="26" fillId="0" borderId="22" xfId="3" applyNumberFormat="1" applyFont="1" applyBorder="1"/>
    <xf numFmtId="166" fontId="26" fillId="0" borderId="25" xfId="3" applyNumberFormat="1" applyFont="1" applyBorder="1"/>
    <xf numFmtId="166" fontId="27" fillId="0" borderId="0" xfId="1" applyNumberFormat="1" applyFont="1"/>
    <xf numFmtId="0" fontId="26" fillId="0" borderId="9" xfId="29" applyFont="1" applyBorder="1"/>
    <xf numFmtId="0" fontId="24" fillId="0" borderId="12" xfId="10" applyFont="1" applyBorder="1"/>
    <xf numFmtId="0" fontId="24" fillId="0" borderId="23" xfId="10" applyFont="1" applyBorder="1"/>
    <xf numFmtId="0" fontId="40" fillId="0" borderId="8" xfId="0" applyFont="1" applyBorder="1" applyAlignment="1">
      <alignment horizontal="left" vertical="top" wrapText="1" indent="1"/>
    </xf>
    <xf numFmtId="0" fontId="25" fillId="3" borderId="5" xfId="0" applyFont="1" applyFill="1" applyBorder="1"/>
    <xf numFmtId="0" fontId="25" fillId="3" borderId="24" xfId="0" applyFont="1" applyFill="1" applyBorder="1"/>
    <xf numFmtId="0" fontId="25" fillId="3" borderId="9" xfId="0" applyFont="1" applyFill="1" applyBorder="1"/>
    <xf numFmtId="0" fontId="25" fillId="3" borderId="5" xfId="0" applyFont="1" applyFill="1" applyBorder="1" applyAlignment="1">
      <alignment horizontal="left"/>
    </xf>
    <xf numFmtId="14" fontId="26" fillId="0" borderId="0" xfId="29" applyNumberFormat="1" applyFont="1"/>
    <xf numFmtId="165" fontId="39" fillId="0" borderId="0" xfId="0" applyNumberFormat="1" applyFont="1"/>
    <xf numFmtId="166" fontId="25" fillId="0" borderId="11" xfId="3" applyNumberFormat="1" applyFont="1" applyFill="1" applyBorder="1"/>
    <xf numFmtId="166" fontId="24" fillId="0" borderId="4" xfId="3" applyNumberFormat="1" applyFont="1" applyFill="1" applyBorder="1"/>
    <xf numFmtId="166" fontId="24" fillId="0" borderId="10" xfId="3" applyNumberFormat="1" applyFont="1" applyFill="1" applyBorder="1"/>
    <xf numFmtId="0" fontId="40" fillId="0" borderId="8" xfId="0" applyFont="1" applyBorder="1" applyAlignment="1">
      <alignment vertical="center" wrapText="1"/>
    </xf>
    <xf numFmtId="166" fontId="27" fillId="0" borderId="0" xfId="26" applyNumberFormat="1" applyFont="1" applyFill="1" applyBorder="1" applyAlignment="1"/>
    <xf numFmtId="165" fontId="27" fillId="0" borderId="6" xfId="1" applyFont="1" applyFill="1" applyBorder="1"/>
    <xf numFmtId="1" fontId="26" fillId="0" borderId="0" xfId="10" applyNumberFormat="1" applyFont="1"/>
    <xf numFmtId="1" fontId="24" fillId="0" borderId="0" xfId="0" applyNumberFormat="1" applyFont="1"/>
    <xf numFmtId="165" fontId="39" fillId="0" borderId="4" xfId="1" applyFont="1" applyBorder="1"/>
    <xf numFmtId="165" fontId="40" fillId="0" borderId="10" xfId="1" applyFont="1" applyBorder="1"/>
    <xf numFmtId="165" fontId="40" fillId="0" borderId="4" xfId="1" applyFont="1" applyBorder="1" applyAlignment="1">
      <alignment horizontal="center"/>
    </xf>
    <xf numFmtId="165" fontId="39" fillId="0" borderId="6" xfId="1" applyFont="1" applyBorder="1"/>
    <xf numFmtId="0" fontId="49" fillId="5" borderId="36" xfId="0" applyFont="1" applyFill="1" applyBorder="1" applyAlignment="1">
      <alignment vertical="center"/>
    </xf>
    <xf numFmtId="0" fontId="40" fillId="5" borderId="37" xfId="0" applyFont="1" applyFill="1" applyBorder="1"/>
    <xf numFmtId="0" fontId="40" fillId="5" borderId="37" xfId="0" applyFont="1" applyFill="1" applyBorder="1" applyAlignment="1">
      <alignment vertical="center"/>
    </xf>
    <xf numFmtId="165" fontId="40" fillId="5" borderId="37" xfId="0" applyNumberFormat="1" applyFont="1" applyFill="1" applyBorder="1" applyAlignment="1">
      <alignment vertical="center"/>
    </xf>
    <xf numFmtId="165" fontId="40" fillId="5" borderId="38" xfId="0" applyNumberFormat="1" applyFont="1" applyFill="1" applyBorder="1" applyAlignment="1">
      <alignment vertical="center"/>
    </xf>
    <xf numFmtId="165" fontId="40" fillId="5" borderId="0" xfId="0" applyNumberFormat="1" applyFont="1" applyFill="1" applyAlignment="1">
      <alignment vertical="center"/>
    </xf>
    <xf numFmtId="0" fontId="39" fillId="5" borderId="0" xfId="0" applyFont="1" applyFill="1" applyAlignment="1">
      <alignment vertical="center"/>
    </xf>
    <xf numFmtId="0" fontId="49" fillId="5" borderId="39" xfId="0" applyFont="1" applyFill="1" applyBorder="1" applyAlignment="1">
      <alignment vertical="center"/>
    </xf>
    <xf numFmtId="0" fontId="40" fillId="5" borderId="0" xfId="34" applyFont="1" applyFill="1" applyAlignment="1">
      <alignment vertical="center"/>
    </xf>
    <xf numFmtId="0" fontId="40" fillId="5" borderId="0" xfId="0" applyFont="1" applyFill="1" applyAlignment="1">
      <alignment vertical="center"/>
    </xf>
    <xf numFmtId="165" fontId="40" fillId="5" borderId="40" xfId="0" applyNumberFormat="1" applyFont="1" applyFill="1" applyBorder="1" applyAlignment="1">
      <alignment vertical="center"/>
    </xf>
    <xf numFmtId="0" fontId="39" fillId="5" borderId="0" xfId="0" applyFont="1" applyFill="1" applyAlignment="1">
      <alignment horizontal="right" vertical="center"/>
    </xf>
    <xf numFmtId="0" fontId="39" fillId="5" borderId="40" xfId="0" applyFont="1" applyFill="1" applyBorder="1" applyAlignment="1">
      <alignment horizontal="right" vertical="center"/>
    </xf>
    <xf numFmtId="0" fontId="39" fillId="5" borderId="39" xfId="0" applyFont="1" applyFill="1" applyBorder="1" applyAlignment="1">
      <alignment vertical="center"/>
    </xf>
    <xf numFmtId="0" fontId="40" fillId="5" borderId="0" xfId="0" applyFont="1" applyFill="1" applyAlignment="1">
      <alignment horizontal="right" vertical="center"/>
    </xf>
    <xf numFmtId="0" fontId="40" fillId="5" borderId="0" xfId="0" applyFont="1" applyFill="1" applyAlignment="1">
      <alignment horizontal="left" vertical="center"/>
    </xf>
    <xf numFmtId="165" fontId="39" fillId="5" borderId="0" xfId="35" applyFont="1" applyFill="1" applyBorder="1" applyAlignment="1">
      <alignment vertical="center"/>
    </xf>
    <xf numFmtId="165" fontId="39" fillId="5" borderId="40" xfId="35" applyFont="1" applyFill="1" applyBorder="1" applyAlignment="1">
      <alignment vertical="center"/>
    </xf>
    <xf numFmtId="177" fontId="40" fillId="5" borderId="9" xfId="33" applyNumberFormat="1" applyFont="1" applyFill="1" applyBorder="1" applyAlignment="1">
      <alignment horizontal="left" vertical="center"/>
    </xf>
    <xf numFmtId="177" fontId="40" fillId="5" borderId="9" xfId="33" applyNumberFormat="1" applyFont="1" applyFill="1" applyBorder="1" applyAlignment="1">
      <alignment horizontal="center" vertical="center" wrapText="1"/>
    </xf>
    <xf numFmtId="179" fontId="40" fillId="5" borderId="9" xfId="36" applyNumberFormat="1" applyFont="1" applyFill="1" applyBorder="1" applyAlignment="1" applyProtection="1">
      <alignment horizontal="right" vertical="center"/>
    </xf>
    <xf numFmtId="179" fontId="40" fillId="5" borderId="0" xfId="36" applyNumberFormat="1" applyFont="1" applyFill="1" applyBorder="1" applyAlignment="1" applyProtection="1">
      <alignment horizontal="center" vertical="center"/>
    </xf>
    <xf numFmtId="179" fontId="40" fillId="5" borderId="40" xfId="36" applyNumberFormat="1" applyFont="1" applyFill="1" applyBorder="1" applyAlignment="1" applyProtection="1">
      <alignment horizontal="center" vertical="center"/>
    </xf>
    <xf numFmtId="0" fontId="40" fillId="5" borderId="52" xfId="0" applyFont="1" applyFill="1" applyBorder="1" applyAlignment="1">
      <alignment horizontal="left" vertical="center"/>
    </xf>
    <xf numFmtId="0" fontId="40" fillId="5" borderId="50" xfId="0" applyFont="1" applyFill="1" applyBorder="1" applyAlignment="1">
      <alignment horizontal="left" vertical="center"/>
    </xf>
    <xf numFmtId="166" fontId="40" fillId="5" borderId="50" xfId="35" applyNumberFormat="1" applyFont="1" applyFill="1" applyBorder="1" applyAlignment="1">
      <alignment vertical="center"/>
    </xf>
    <xf numFmtId="165" fontId="40" fillId="5" borderId="0" xfId="35" applyFont="1" applyFill="1" applyBorder="1" applyAlignment="1">
      <alignment vertical="center"/>
    </xf>
    <xf numFmtId="165" fontId="40" fillId="5" borderId="40" xfId="35" applyFont="1" applyFill="1" applyBorder="1" applyAlignment="1">
      <alignment vertical="center"/>
    </xf>
    <xf numFmtId="0" fontId="39" fillId="5" borderId="3" xfId="0" applyFont="1" applyFill="1" applyBorder="1" applyAlignment="1">
      <alignment horizontal="left" vertical="center"/>
    </xf>
    <xf numFmtId="0" fontId="39" fillId="5" borderId="4" xfId="0" applyFont="1" applyFill="1" applyBorder="1" applyAlignment="1">
      <alignment horizontal="left" vertical="center"/>
    </xf>
    <xf numFmtId="166" fontId="39" fillId="5" borderId="8" xfId="35" applyNumberFormat="1" applyFont="1" applyFill="1" applyBorder="1" applyAlignment="1">
      <alignment vertical="center"/>
    </xf>
    <xf numFmtId="165" fontId="39" fillId="5" borderId="0" xfId="0" applyNumberFormat="1" applyFont="1" applyFill="1" applyAlignment="1">
      <alignment horizontal="center" vertical="center"/>
    </xf>
    <xf numFmtId="165" fontId="40" fillId="5" borderId="24" xfId="35" applyFont="1" applyFill="1" applyBorder="1" applyAlignment="1">
      <alignment horizontal="center" vertical="center" wrapText="1"/>
    </xf>
    <xf numFmtId="165" fontId="40" fillId="5" borderId="9" xfId="35" applyFont="1" applyFill="1" applyBorder="1" applyAlignment="1">
      <alignment horizontal="center" vertical="center" wrapText="1"/>
    </xf>
    <xf numFmtId="0" fontId="40" fillId="5" borderId="53" xfId="0" applyFont="1" applyFill="1" applyBorder="1" applyAlignment="1">
      <alignment horizontal="left" vertical="center"/>
    </xf>
    <xf numFmtId="0" fontId="40" fillId="5" borderId="54" xfId="0" applyFont="1" applyFill="1" applyBorder="1" applyAlignment="1">
      <alignment horizontal="left" vertical="center"/>
    </xf>
    <xf numFmtId="166" fontId="40" fillId="5" borderId="55" xfId="35" applyNumberFormat="1" applyFont="1" applyFill="1" applyBorder="1" applyAlignment="1">
      <alignment vertical="center"/>
    </xf>
    <xf numFmtId="166" fontId="40" fillId="5" borderId="56" xfId="35" applyNumberFormat="1" applyFont="1" applyFill="1" applyBorder="1" applyAlignment="1">
      <alignment vertical="center"/>
    </xf>
    <xf numFmtId="165" fontId="40" fillId="5" borderId="56" xfId="35" applyFont="1" applyFill="1" applyBorder="1" applyAlignment="1">
      <alignment vertical="center"/>
    </xf>
    <xf numFmtId="166" fontId="40" fillId="5" borderId="57" xfId="35" applyNumberFormat="1" applyFont="1" applyFill="1" applyBorder="1" applyAlignment="1">
      <alignment vertical="center"/>
    </xf>
    <xf numFmtId="0" fontId="40" fillId="5" borderId="24" xfId="0" applyFont="1" applyFill="1" applyBorder="1" applyAlignment="1">
      <alignment horizontal="left" vertical="center"/>
    </xf>
    <xf numFmtId="0" fontId="39" fillId="5" borderId="25" xfId="0" applyFont="1" applyFill="1" applyBorder="1" applyAlignment="1">
      <alignment horizontal="left" vertical="center"/>
    </xf>
    <xf numFmtId="165" fontId="40" fillId="5" borderId="9" xfId="35" applyFont="1" applyFill="1" applyBorder="1" applyAlignment="1">
      <alignment vertical="center"/>
    </xf>
    <xf numFmtId="165" fontId="40" fillId="5" borderId="43" xfId="35" applyFont="1" applyFill="1" applyBorder="1" applyAlignment="1">
      <alignment vertical="center"/>
    </xf>
    <xf numFmtId="0" fontId="40" fillId="5" borderId="25" xfId="0" applyFont="1" applyFill="1" applyBorder="1" applyAlignment="1">
      <alignment horizontal="left" vertical="center" wrapText="1"/>
    </xf>
    <xf numFmtId="0" fontId="39" fillId="5" borderId="25" xfId="0" applyFont="1" applyFill="1" applyBorder="1" applyAlignment="1">
      <alignment horizontal="left" vertical="center" wrapText="1"/>
    </xf>
    <xf numFmtId="166" fontId="39" fillId="5" borderId="9" xfId="35" applyNumberFormat="1" applyFont="1" applyFill="1" applyBorder="1" applyAlignment="1">
      <alignment vertical="center"/>
    </xf>
    <xf numFmtId="165" fontId="39" fillId="5" borderId="9" xfId="35" applyFont="1" applyFill="1" applyBorder="1" applyAlignment="1">
      <alignment vertical="center"/>
    </xf>
    <xf numFmtId="166" fontId="40" fillId="5" borderId="43" xfId="35" applyNumberFormat="1" applyFont="1" applyFill="1" applyBorder="1" applyAlignment="1">
      <alignment vertical="center"/>
    </xf>
    <xf numFmtId="166" fontId="40" fillId="5" borderId="9" xfId="35" applyNumberFormat="1" applyFont="1" applyFill="1" applyBorder="1" applyAlignment="1">
      <alignment vertical="center"/>
    </xf>
    <xf numFmtId="0" fontId="40" fillId="5" borderId="5" xfId="0" applyFont="1" applyFill="1" applyBorder="1" applyAlignment="1">
      <alignment horizontal="left" vertical="center"/>
    </xf>
    <xf numFmtId="0" fontId="40" fillId="5" borderId="7" xfId="0" applyFont="1" applyFill="1" applyBorder="1" applyAlignment="1">
      <alignment horizontal="left" vertical="center" wrapText="1"/>
    </xf>
    <xf numFmtId="165" fontId="40" fillId="5" borderId="6" xfId="35" applyFont="1" applyFill="1" applyBorder="1" applyAlignment="1">
      <alignment vertical="center"/>
    </xf>
    <xf numFmtId="165" fontId="40" fillId="5" borderId="46" xfId="35" applyFont="1" applyFill="1" applyBorder="1" applyAlignment="1">
      <alignment vertical="center"/>
    </xf>
    <xf numFmtId="0" fontId="39" fillId="5" borderId="24" xfId="0" applyFont="1" applyFill="1" applyBorder="1" applyAlignment="1">
      <alignment horizontal="left" vertical="center"/>
    </xf>
    <xf numFmtId="0" fontId="40" fillId="5" borderId="58" xfId="0" applyFont="1" applyFill="1" applyBorder="1" applyAlignment="1">
      <alignment horizontal="left" vertical="center" wrapText="1"/>
    </xf>
    <xf numFmtId="165" fontId="40" fillId="5" borderId="50" xfId="35" applyFont="1" applyFill="1" applyBorder="1" applyAlignment="1">
      <alignment vertical="center"/>
    </xf>
    <xf numFmtId="165" fontId="40" fillId="5" borderId="51" xfId="35" applyFont="1" applyFill="1" applyBorder="1" applyAlignment="1">
      <alignment vertical="center"/>
    </xf>
    <xf numFmtId="0" fontId="40" fillId="5" borderId="59" xfId="0" applyFont="1" applyFill="1" applyBorder="1" applyAlignment="1">
      <alignment horizontal="left" vertical="center"/>
    </xf>
    <xf numFmtId="0" fontId="40" fillId="5" borderId="60" xfId="0" applyFont="1" applyFill="1" applyBorder="1" applyAlignment="1">
      <alignment horizontal="left" vertical="center"/>
    </xf>
    <xf numFmtId="43" fontId="40" fillId="5" borderId="0" xfId="0" applyNumberFormat="1" applyFont="1" applyFill="1" applyAlignment="1">
      <alignment vertical="center"/>
    </xf>
    <xf numFmtId="0" fontId="37" fillId="5" borderId="25" xfId="0" applyFont="1" applyFill="1" applyBorder="1" applyAlignment="1">
      <alignment horizontal="left" vertical="center" wrapText="1"/>
    </xf>
    <xf numFmtId="180" fontId="39" fillId="5" borderId="43" xfId="1" applyNumberFormat="1" applyFont="1" applyFill="1" applyBorder="1" applyAlignment="1">
      <alignment vertical="center"/>
    </xf>
    <xf numFmtId="2" fontId="39" fillId="5" borderId="0" xfId="0" applyNumberFormat="1" applyFont="1" applyFill="1" applyAlignment="1">
      <alignment vertical="center"/>
    </xf>
    <xf numFmtId="0" fontId="39" fillId="5" borderId="0" xfId="0" applyFont="1" applyFill="1" applyAlignment="1">
      <alignment horizontal="left" vertical="center"/>
    </xf>
    <xf numFmtId="0" fontId="39" fillId="5" borderId="0" xfId="0" applyFont="1" applyFill="1" applyAlignment="1">
      <alignment horizontal="center" vertical="center"/>
    </xf>
    <xf numFmtId="165" fontId="39" fillId="5" borderId="40" xfId="0" applyNumberFormat="1" applyFont="1" applyFill="1" applyBorder="1" applyAlignment="1">
      <alignment horizontal="center" vertical="center"/>
    </xf>
    <xf numFmtId="166" fontId="39" fillId="0" borderId="0" xfId="38" applyNumberFormat="1" applyFont="1" applyAlignment="1">
      <alignment horizontal="left" vertical="top"/>
    </xf>
    <xf numFmtId="166" fontId="39" fillId="0" borderId="0" xfId="39" applyNumberFormat="1" applyFont="1" applyFill="1" applyBorder="1" applyAlignment="1">
      <alignment horizontal="left" vertical="top"/>
    </xf>
    <xf numFmtId="0" fontId="39" fillId="8" borderId="0" xfId="37" applyFont="1" applyFill="1" applyBorder="1" applyAlignment="1"/>
    <xf numFmtId="166" fontId="40" fillId="0" borderId="0" xfId="39" applyNumberFormat="1" applyFont="1" applyFill="1" applyBorder="1" applyAlignment="1">
      <alignment horizontal="left" vertical="top"/>
    </xf>
    <xf numFmtId="166" fontId="40" fillId="0" borderId="0" xfId="38" applyNumberFormat="1" applyFont="1" applyAlignment="1">
      <alignment vertical="top" wrapText="1"/>
    </xf>
    <xf numFmtId="166" fontId="40" fillId="0" borderId="0" xfId="39" applyNumberFormat="1" applyFont="1" applyFill="1" applyBorder="1" applyAlignment="1">
      <alignment vertical="top" wrapText="1"/>
    </xf>
    <xf numFmtId="166" fontId="40" fillId="0" borderId="0" xfId="38" applyNumberFormat="1" applyFont="1" applyAlignment="1">
      <alignment horizontal="left" vertical="top"/>
    </xf>
    <xf numFmtId="0" fontId="39" fillId="0" borderId="0" xfId="38" applyFont="1"/>
    <xf numFmtId="166" fontId="39" fillId="0" borderId="0" xfId="39" applyNumberFormat="1" applyFont="1" applyFill="1" applyBorder="1" applyAlignment="1"/>
    <xf numFmtId="166" fontId="39" fillId="0" borderId="40" xfId="39" applyNumberFormat="1" applyFont="1" applyFill="1" applyBorder="1" applyAlignment="1">
      <alignment horizontal="left" vertical="top"/>
    </xf>
    <xf numFmtId="0" fontId="39" fillId="0" borderId="0" xfId="38" applyFont="1" applyAlignment="1">
      <alignment horizontal="left" vertical="top"/>
    </xf>
    <xf numFmtId="166" fontId="39" fillId="0" borderId="40" xfId="39" applyNumberFormat="1" applyFont="1" applyFill="1" applyBorder="1"/>
    <xf numFmtId="0" fontId="40" fillId="0" borderId="0" xfId="38" applyFont="1" applyAlignment="1">
      <alignment horizontal="left" vertical="top"/>
    </xf>
    <xf numFmtId="166" fontId="39" fillId="0" borderId="0" xfId="39" applyNumberFormat="1" applyFont="1" applyFill="1" applyBorder="1"/>
    <xf numFmtId="166" fontId="40" fillId="0" borderId="40" xfId="39" applyNumberFormat="1" applyFont="1" applyFill="1" applyBorder="1" applyAlignment="1"/>
    <xf numFmtId="0" fontId="39" fillId="8" borderId="0" xfId="37" applyFont="1" applyFill="1" applyBorder="1"/>
    <xf numFmtId="0" fontId="40" fillId="0" borderId="0" xfId="38" applyFont="1"/>
    <xf numFmtId="166" fontId="40" fillId="0" borderId="0" xfId="39" applyNumberFormat="1" applyFont="1" applyFill="1" applyBorder="1" applyAlignment="1"/>
    <xf numFmtId="0" fontId="39" fillId="5" borderId="47" xfId="0" applyFont="1" applyFill="1" applyBorder="1" applyAlignment="1">
      <alignment vertical="center"/>
    </xf>
    <xf numFmtId="0" fontId="38" fillId="8" borderId="48" xfId="37" applyFont="1" applyFill="1" applyBorder="1" applyAlignment="1"/>
    <xf numFmtId="0" fontId="39" fillId="5" borderId="48" xfId="0" applyFont="1" applyFill="1" applyBorder="1" applyAlignment="1">
      <alignment horizontal="center" vertical="center"/>
    </xf>
    <xf numFmtId="165" fontId="39" fillId="5" borderId="48" xfId="0" applyNumberFormat="1" applyFont="1" applyFill="1" applyBorder="1" applyAlignment="1">
      <alignment horizontal="center" vertical="center"/>
    </xf>
    <xf numFmtId="165" fontId="39" fillId="5" borderId="49" xfId="0" applyNumberFormat="1" applyFont="1" applyFill="1" applyBorder="1" applyAlignment="1">
      <alignment horizontal="center" vertical="center"/>
    </xf>
    <xf numFmtId="0" fontId="38" fillId="8" borderId="0" xfId="37" applyFont="1" applyFill="1" applyBorder="1" applyAlignment="1"/>
    <xf numFmtId="165" fontId="39" fillId="5" borderId="0" xfId="0" applyNumberFormat="1" applyFont="1" applyFill="1" applyAlignment="1">
      <alignment vertical="center"/>
    </xf>
    <xf numFmtId="179" fontId="40" fillId="5" borderId="0" xfId="36" applyNumberFormat="1" applyFont="1" applyFill="1" applyBorder="1" applyAlignment="1" applyProtection="1">
      <alignment horizontal="right" vertical="center"/>
    </xf>
    <xf numFmtId="166" fontId="40" fillId="5" borderId="0" xfId="35" applyNumberFormat="1" applyFont="1" applyFill="1" applyBorder="1" applyAlignment="1">
      <alignment vertical="center"/>
    </xf>
    <xf numFmtId="166" fontId="39" fillId="5" borderId="0" xfId="35" applyNumberFormat="1" applyFont="1" applyFill="1" applyBorder="1" applyAlignment="1">
      <alignment vertical="center"/>
    </xf>
    <xf numFmtId="0" fontId="27" fillId="0" borderId="3" xfId="25" applyFont="1" applyBorder="1" applyAlignment="1">
      <alignment horizontal="left" wrapText="1"/>
    </xf>
    <xf numFmtId="0" fontId="24" fillId="0" borderId="0" xfId="17" applyFont="1" applyAlignment="1">
      <alignment horizontal="right"/>
    </xf>
    <xf numFmtId="164" fontId="26" fillId="0" borderId="0" xfId="15" applyNumberFormat="1" applyFont="1" applyFill="1" applyBorder="1"/>
    <xf numFmtId="165" fontId="40" fillId="5" borderId="53" xfId="35" applyFont="1" applyFill="1" applyBorder="1" applyAlignment="1">
      <alignment vertical="center"/>
    </xf>
    <xf numFmtId="165" fontId="40" fillId="5" borderId="24" xfId="35" applyFont="1" applyFill="1" applyBorder="1" applyAlignment="1">
      <alignment vertical="center"/>
    </xf>
    <xf numFmtId="165" fontId="39" fillId="5" borderId="24" xfId="35" applyFont="1" applyFill="1" applyBorder="1" applyAlignment="1">
      <alignment vertical="center"/>
    </xf>
    <xf numFmtId="165" fontId="40" fillId="5" borderId="5" xfId="35" applyFont="1" applyFill="1" applyBorder="1" applyAlignment="1">
      <alignment vertical="center"/>
    </xf>
    <xf numFmtId="165" fontId="40" fillId="5" borderId="52" xfId="35" applyFont="1" applyFill="1" applyBorder="1" applyAlignment="1">
      <alignment vertical="center"/>
    </xf>
    <xf numFmtId="165" fontId="40" fillId="5" borderId="59" xfId="35" applyFont="1" applyFill="1" applyBorder="1" applyAlignment="1">
      <alignment vertical="center"/>
    </xf>
    <xf numFmtId="180" fontId="39" fillId="5" borderId="0" xfId="1" applyNumberFormat="1" applyFont="1" applyFill="1" applyBorder="1" applyAlignment="1">
      <alignment vertical="center"/>
    </xf>
    <xf numFmtId="0" fontId="40" fillId="5" borderId="36" xfId="0" applyFont="1" applyFill="1" applyBorder="1" applyAlignment="1">
      <alignment vertical="center"/>
    </xf>
    <xf numFmtId="0" fontId="40" fillId="5" borderId="39" xfId="34" applyFont="1" applyFill="1" applyBorder="1" applyAlignment="1">
      <alignment vertical="center"/>
    </xf>
    <xf numFmtId="0" fontId="40" fillId="5" borderId="39" xfId="0" applyFont="1" applyFill="1" applyBorder="1" applyAlignment="1">
      <alignment horizontal="right" vertical="center"/>
    </xf>
    <xf numFmtId="177" fontId="40" fillId="5" borderId="61" xfId="33" applyNumberFormat="1" applyFont="1" applyFill="1" applyBorder="1" applyAlignment="1">
      <alignment horizontal="left" vertical="center"/>
    </xf>
    <xf numFmtId="0" fontId="40" fillId="5" borderId="62" xfId="0" applyFont="1" applyFill="1" applyBorder="1" applyAlignment="1">
      <alignment horizontal="left" vertical="center"/>
    </xf>
    <xf numFmtId="0" fontId="39" fillId="5" borderId="39" xfId="0" applyFont="1" applyFill="1" applyBorder="1" applyAlignment="1">
      <alignment horizontal="left" vertical="center"/>
    </xf>
    <xf numFmtId="0" fontId="40" fillId="5" borderId="39" xfId="0" applyFont="1" applyFill="1" applyBorder="1" applyAlignment="1">
      <alignment horizontal="left" vertical="center"/>
    </xf>
    <xf numFmtId="0" fontId="40" fillId="5" borderId="47" xfId="0" applyFont="1" applyFill="1" applyBorder="1" applyAlignment="1">
      <alignment horizontal="left" vertical="center"/>
    </xf>
    <xf numFmtId="0" fontId="40" fillId="5" borderId="41" xfId="0" applyFont="1" applyFill="1" applyBorder="1" applyAlignment="1">
      <alignment horizontal="left" vertical="center"/>
    </xf>
    <xf numFmtId="0" fontId="40" fillId="5" borderId="64" xfId="0" applyFont="1" applyFill="1" applyBorder="1" applyAlignment="1">
      <alignment horizontal="left" vertical="center"/>
    </xf>
    <xf numFmtId="0" fontId="39" fillId="5" borderId="41" xfId="0" applyFont="1" applyFill="1" applyBorder="1" applyAlignment="1">
      <alignment horizontal="left" vertical="center"/>
    </xf>
    <xf numFmtId="0" fontId="40" fillId="5" borderId="65" xfId="0" applyFont="1" applyFill="1" applyBorder="1" applyAlignment="1">
      <alignment horizontal="left" vertical="center"/>
    </xf>
    <xf numFmtId="0" fontId="26" fillId="0" borderId="39" xfId="10" applyFont="1" applyBorder="1"/>
    <xf numFmtId="1" fontId="26" fillId="0" borderId="39" xfId="10" applyNumberFormat="1" applyFont="1" applyBorder="1"/>
    <xf numFmtId="0" fontId="40" fillId="0" borderId="39" xfId="0" applyFont="1" applyBorder="1"/>
    <xf numFmtId="0" fontId="40" fillId="0" borderId="40" xfId="0" applyFont="1" applyBorder="1"/>
    <xf numFmtId="0" fontId="40" fillId="0" borderId="61" xfId="17" applyFont="1" applyBorder="1" applyAlignment="1">
      <alignment horizontal="center"/>
    </xf>
    <xf numFmtId="0" fontId="40" fillId="0" borderId="66" xfId="17" applyFont="1" applyBorder="1" applyAlignment="1">
      <alignment horizontal="center"/>
    </xf>
    <xf numFmtId="0" fontId="39" fillId="0" borderId="66" xfId="0" applyFont="1" applyBorder="1" applyAlignment="1">
      <alignment horizontal="center"/>
    </xf>
    <xf numFmtId="0" fontId="40" fillId="0" borderId="66" xfId="0" applyFont="1" applyBorder="1" applyAlignment="1">
      <alignment horizontal="center"/>
    </xf>
    <xf numFmtId="0" fontId="40" fillId="0" borderId="66" xfId="0" applyFont="1" applyBorder="1"/>
    <xf numFmtId="166" fontId="39" fillId="0" borderId="0" xfId="0" applyNumberFormat="1" applyFont="1"/>
    <xf numFmtId="0" fontId="40" fillId="0" borderId="44" xfId="0" applyFont="1" applyBorder="1" applyAlignment="1">
      <alignment horizontal="center"/>
    </xf>
    <xf numFmtId="0" fontId="39" fillId="0" borderId="44" xfId="0" applyFont="1" applyBorder="1"/>
    <xf numFmtId="0" fontId="39" fillId="0" borderId="66" xfId="0" applyFont="1" applyBorder="1"/>
    <xf numFmtId="165" fontId="39" fillId="0" borderId="44" xfId="1" applyFont="1" applyBorder="1"/>
    <xf numFmtId="165" fontId="39" fillId="0" borderId="46" xfId="1" applyFont="1" applyBorder="1"/>
    <xf numFmtId="166" fontId="40" fillId="0" borderId="68" xfId="1" applyNumberFormat="1" applyFont="1" applyBorder="1"/>
    <xf numFmtId="166" fontId="39" fillId="0" borderId="44" xfId="1" applyNumberFormat="1" applyFont="1" applyBorder="1"/>
    <xf numFmtId="166" fontId="39" fillId="0" borderId="46" xfId="1" applyNumberFormat="1" applyFont="1" applyBorder="1"/>
    <xf numFmtId="0" fontId="40" fillId="0" borderId="39" xfId="21" applyFont="1" applyBorder="1" applyAlignment="1">
      <alignment horizontal="center"/>
    </xf>
    <xf numFmtId="0" fontId="39" fillId="0" borderId="40" xfId="0" applyFont="1" applyBorder="1"/>
    <xf numFmtId="166" fontId="40" fillId="0" borderId="43" xfId="1" applyNumberFormat="1" applyFont="1" applyFill="1" applyBorder="1" applyAlignment="1">
      <alignment horizontal="center" wrapText="1"/>
    </xf>
    <xf numFmtId="165" fontId="40" fillId="0" borderId="68" xfId="1" applyFont="1" applyBorder="1"/>
    <xf numFmtId="0" fontId="39" fillId="0" borderId="69" xfId="0" applyFont="1" applyBorder="1" applyAlignment="1">
      <alignment horizontal="center"/>
    </xf>
    <xf numFmtId="0" fontId="40" fillId="0" borderId="61" xfId="0" applyFont="1" applyBorder="1"/>
    <xf numFmtId="165" fontId="40" fillId="0" borderId="44" xfId="1" applyFont="1" applyBorder="1" applyAlignment="1">
      <alignment horizontal="center"/>
    </xf>
    <xf numFmtId="0" fontId="39" fillId="0" borderId="69" xfId="0" applyFont="1" applyBorder="1"/>
    <xf numFmtId="0" fontId="39" fillId="0" borderId="46" xfId="0" applyFont="1" applyBorder="1"/>
    <xf numFmtId="0" fontId="39" fillId="0" borderId="39" xfId="0" applyFont="1" applyBorder="1"/>
    <xf numFmtId="173" fontId="40" fillId="0" borderId="43" xfId="1" applyNumberFormat="1" applyFont="1" applyBorder="1"/>
    <xf numFmtId="0" fontId="55" fillId="0" borderId="0" xfId="0" applyFont="1" applyAlignment="1">
      <alignment wrapText="1"/>
    </xf>
    <xf numFmtId="0" fontId="56" fillId="0" borderId="0" xfId="0" applyFont="1"/>
    <xf numFmtId="173" fontId="39" fillId="0" borderId="43" xfId="1" applyNumberFormat="1" applyFont="1" applyBorder="1"/>
    <xf numFmtId="0" fontId="39" fillId="0" borderId="61" xfId="0" applyFont="1" applyBorder="1" applyAlignment="1">
      <alignment horizontal="center"/>
    </xf>
    <xf numFmtId="173" fontId="40" fillId="0" borderId="68" xfId="1" applyNumberFormat="1" applyFont="1" applyBorder="1"/>
    <xf numFmtId="0" fontId="40" fillId="0" borderId="39" xfId="17" applyFont="1" applyBorder="1"/>
    <xf numFmtId="0" fontId="39" fillId="0" borderId="66" xfId="17" applyFont="1" applyBorder="1"/>
    <xf numFmtId="166" fontId="39" fillId="0" borderId="40" xfId="1" applyNumberFormat="1" applyFont="1" applyFill="1" applyBorder="1"/>
    <xf numFmtId="166" fontId="39" fillId="0" borderId="44" xfId="1" applyNumberFormat="1" applyFont="1" applyFill="1" applyBorder="1"/>
    <xf numFmtId="166" fontId="40" fillId="0" borderId="70" xfId="1" applyNumberFormat="1" applyFont="1" applyFill="1" applyBorder="1"/>
    <xf numFmtId="166" fontId="39" fillId="0" borderId="70" xfId="1" applyNumberFormat="1" applyFont="1" applyFill="1" applyBorder="1"/>
    <xf numFmtId="166" fontId="39" fillId="0" borderId="68" xfId="1" applyNumberFormat="1" applyFont="1" applyFill="1" applyBorder="1"/>
    <xf numFmtId="166" fontId="40" fillId="0" borderId="68" xfId="1" applyNumberFormat="1" applyFont="1" applyFill="1" applyBorder="1"/>
    <xf numFmtId="0" fontId="40" fillId="0" borderId="69" xfId="17" applyFont="1" applyBorder="1"/>
    <xf numFmtId="0" fontId="40" fillId="0" borderId="64" xfId="0" applyFont="1" applyBorder="1" applyAlignment="1">
      <alignment vertical="center"/>
    </xf>
    <xf numFmtId="0" fontId="40" fillId="0" borderId="66" xfId="17" applyFont="1" applyBorder="1" applyAlignment="1">
      <alignment horizontal="right"/>
    </xf>
    <xf numFmtId="166" fontId="39" fillId="0" borderId="44" xfId="1" applyNumberFormat="1" applyFont="1" applyFill="1" applyBorder="1" applyAlignment="1">
      <alignment horizontal="center" vertical="center" wrapText="1"/>
    </xf>
    <xf numFmtId="0" fontId="40" fillId="0" borderId="69" xfId="17" applyFont="1" applyBorder="1" applyAlignment="1">
      <alignment horizontal="right"/>
    </xf>
    <xf numFmtId="0" fontId="40" fillId="0" borderId="64" xfId="17" applyFont="1" applyBorder="1"/>
    <xf numFmtId="0" fontId="39" fillId="0" borderId="61" xfId="17" applyFont="1" applyBorder="1"/>
    <xf numFmtId="0" fontId="39" fillId="0" borderId="69" xfId="17" applyFont="1" applyBorder="1"/>
    <xf numFmtId="0" fontId="40" fillId="0" borderId="61" xfId="17" applyFont="1" applyBorder="1" applyAlignment="1">
      <alignment horizontal="right"/>
    </xf>
    <xf numFmtId="166" fontId="40" fillId="0" borderId="44" xfId="1" applyNumberFormat="1" applyFont="1" applyFill="1" applyBorder="1" applyAlignment="1">
      <alignment horizontal="center" wrapText="1"/>
    </xf>
    <xf numFmtId="166" fontId="39" fillId="0" borderId="44" xfId="1" applyNumberFormat="1" applyFont="1" applyFill="1" applyBorder="1" applyAlignment="1">
      <alignment horizontal="right"/>
    </xf>
    <xf numFmtId="166" fontId="40" fillId="0" borderId="68" xfId="1" applyNumberFormat="1" applyFont="1" applyFill="1" applyBorder="1" applyAlignment="1">
      <alignment horizontal="right"/>
    </xf>
    <xf numFmtId="166" fontId="40" fillId="0" borderId="44" xfId="1" applyNumberFormat="1" applyFont="1" applyFill="1" applyBorder="1" applyAlignment="1">
      <alignment horizontal="right"/>
    </xf>
    <xf numFmtId="0" fontId="39" fillId="0" borderId="66" xfId="17" applyFont="1" applyBorder="1" applyAlignment="1">
      <alignment horizontal="center"/>
    </xf>
    <xf numFmtId="0" fontId="39" fillId="0" borderId="39" xfId="17" applyFont="1" applyBorder="1"/>
    <xf numFmtId="0" fontId="40" fillId="0" borderId="61" xfId="17" applyFont="1" applyBorder="1"/>
    <xf numFmtId="166" fontId="40" fillId="0" borderId="43" xfId="1" applyNumberFormat="1" applyFont="1" applyFill="1" applyBorder="1" applyAlignment="1">
      <alignment horizontal="center" vertical="center" wrapText="1"/>
    </xf>
    <xf numFmtId="0" fontId="40" fillId="0" borderId="66" xfId="17" applyFont="1" applyBorder="1" applyAlignment="1">
      <alignment horizontal="right" vertical="center"/>
    </xf>
    <xf numFmtId="166" fontId="39" fillId="0" borderId="44" xfId="1" applyNumberFormat="1" applyFont="1" applyFill="1" applyBorder="1" applyAlignment="1">
      <alignment horizontal="right" wrapText="1"/>
    </xf>
    <xf numFmtId="166" fontId="40" fillId="0" borderId="68" xfId="1" applyNumberFormat="1" applyFont="1" applyFill="1" applyBorder="1" applyAlignment="1">
      <alignment horizontal="center" vertical="center" wrapText="1"/>
    </xf>
    <xf numFmtId="0" fontId="40" fillId="0" borderId="39" xfId="17" applyFont="1" applyBorder="1" applyAlignment="1">
      <alignment horizontal="right"/>
    </xf>
    <xf numFmtId="0" fontId="40" fillId="0" borderId="66" xfId="17" applyFont="1" applyBorder="1"/>
    <xf numFmtId="166" fontId="40" fillId="0" borderId="40" xfId="1" applyNumberFormat="1" applyFont="1" applyFill="1" applyBorder="1" applyAlignment="1">
      <alignment horizontal="center" wrapText="1"/>
    </xf>
    <xf numFmtId="0" fontId="39" fillId="0" borderId="66" xfId="17" applyFont="1" applyBorder="1" applyAlignment="1">
      <alignment horizontal="right"/>
    </xf>
    <xf numFmtId="0" fontId="39" fillId="0" borderId="61" xfId="0" applyFont="1" applyBorder="1"/>
    <xf numFmtId="166" fontId="40" fillId="0" borderId="44" xfId="1" applyNumberFormat="1" applyFont="1" applyFill="1" applyBorder="1" applyAlignment="1">
      <alignment horizontal="center" vertical="center" wrapText="1"/>
    </xf>
    <xf numFmtId="0" fontId="40" fillId="0" borderId="63" xfId="17" applyFont="1" applyBorder="1" applyAlignment="1">
      <alignment horizontal="center"/>
    </xf>
    <xf numFmtId="0" fontId="40" fillId="0" borderId="39" xfId="17" applyFont="1" applyBorder="1" applyAlignment="1">
      <alignment horizontal="center"/>
    </xf>
    <xf numFmtId="0" fontId="40" fillId="0" borderId="39" xfId="0" applyFont="1" applyBorder="1" applyAlignment="1">
      <alignment horizontal="right"/>
    </xf>
    <xf numFmtId="0" fontId="39" fillId="0" borderId="39" xfId="0" applyFont="1" applyBorder="1" applyAlignment="1">
      <alignment horizontal="right"/>
    </xf>
    <xf numFmtId="0" fontId="39" fillId="0" borderId="64" xfId="0" applyFont="1" applyBorder="1"/>
    <xf numFmtId="0" fontId="40" fillId="0" borderId="41" xfId="0" applyFont="1" applyBorder="1"/>
    <xf numFmtId="166" fontId="40" fillId="0" borderId="43" xfId="17" applyNumberFormat="1" applyFont="1" applyBorder="1" applyAlignment="1">
      <alignment horizontal="center" vertical="center" wrapText="1"/>
    </xf>
    <xf numFmtId="166" fontId="39" fillId="0" borderId="43" xfId="17" applyNumberFormat="1" applyFont="1" applyBorder="1" applyAlignment="1">
      <alignment horizontal="left" vertical="center" wrapText="1"/>
    </xf>
    <xf numFmtId="165" fontId="39" fillId="0" borderId="43" xfId="1" applyFont="1" applyFill="1" applyBorder="1" applyAlignment="1">
      <alignment horizontal="left" vertical="center" wrapText="1"/>
    </xf>
    <xf numFmtId="0" fontId="39" fillId="0" borderId="61" xfId="17" applyFont="1" applyBorder="1" applyAlignment="1">
      <alignment horizontal="center" wrapText="1"/>
    </xf>
    <xf numFmtId="0" fontId="39" fillId="0" borderId="66" xfId="17" applyFont="1" applyBorder="1" applyAlignment="1">
      <alignment wrapText="1"/>
    </xf>
    <xf numFmtId="166" fontId="39" fillId="0" borderId="44" xfId="1" applyNumberFormat="1" applyFont="1" applyFill="1" applyBorder="1" applyAlignment="1">
      <alignment wrapText="1"/>
    </xf>
    <xf numFmtId="166" fontId="40" fillId="0" borderId="44" xfId="1" applyNumberFormat="1" applyFont="1" applyFill="1" applyBorder="1"/>
    <xf numFmtId="166" fontId="40" fillId="0" borderId="43" xfId="1" applyNumberFormat="1" applyFont="1" applyBorder="1"/>
    <xf numFmtId="0" fontId="27" fillId="0" borderId="39" xfId="25" applyFont="1" applyBorder="1"/>
    <xf numFmtId="0" fontId="27" fillId="0" borderId="73" xfId="25" applyFont="1" applyBorder="1"/>
    <xf numFmtId="166" fontId="26" fillId="0" borderId="43" xfId="2" applyNumberFormat="1" applyFont="1" applyFill="1" applyBorder="1" applyAlignment="1">
      <alignment horizontal="center" vertical="center" wrapText="1"/>
    </xf>
    <xf numFmtId="0" fontId="27" fillId="0" borderId="66" xfId="25" applyFont="1" applyBorder="1"/>
    <xf numFmtId="166" fontId="26" fillId="0" borderId="44" xfId="2" applyNumberFormat="1" applyFont="1" applyFill="1" applyBorder="1" applyAlignment="1">
      <alignment horizontal="center" vertical="center" wrapText="1"/>
    </xf>
    <xf numFmtId="166" fontId="27" fillId="0" borderId="44" xfId="26" applyNumberFormat="1" applyFont="1" applyFill="1" applyBorder="1" applyAlignment="1">
      <alignment horizontal="left" indent="1"/>
    </xf>
    <xf numFmtId="0" fontId="26" fillId="0" borderId="66" xfId="25" applyFont="1" applyBorder="1"/>
    <xf numFmtId="166" fontId="26" fillId="0" borderId="43" xfId="26" applyNumberFormat="1" applyFont="1" applyFill="1" applyBorder="1" applyAlignment="1">
      <alignment horizontal="left" indent="1"/>
    </xf>
    <xf numFmtId="168" fontId="26" fillId="0" borderId="43" xfId="11" applyNumberFormat="1" applyFont="1" applyFill="1" applyBorder="1"/>
    <xf numFmtId="168" fontId="27" fillId="0" borderId="44" xfId="11" applyNumberFormat="1" applyFont="1" applyFill="1" applyBorder="1"/>
    <xf numFmtId="166" fontId="26" fillId="0" borderId="68" xfId="26" applyNumberFormat="1" applyFont="1" applyFill="1" applyBorder="1"/>
    <xf numFmtId="166" fontId="26" fillId="0" borderId="44" xfId="26" applyNumberFormat="1" applyFont="1" applyFill="1" applyBorder="1"/>
    <xf numFmtId="0" fontId="27" fillId="0" borderId="69" xfId="25" applyFont="1" applyBorder="1"/>
    <xf numFmtId="0" fontId="27" fillId="0" borderId="40" xfId="0" applyFont="1" applyBorder="1"/>
    <xf numFmtId="164" fontId="27" fillId="0" borderId="44" xfId="26" applyNumberFormat="1" applyFont="1" applyFill="1" applyBorder="1" applyAlignment="1">
      <alignment horizontal="left"/>
    </xf>
    <xf numFmtId="164" fontId="26" fillId="0" borderId="68" xfId="26" applyNumberFormat="1" applyFont="1" applyFill="1" applyBorder="1" applyAlignment="1">
      <alignment horizontal="left"/>
    </xf>
    <xf numFmtId="0" fontId="26" fillId="0" borderId="39" xfId="25" applyFont="1" applyBorder="1"/>
    <xf numFmtId="0" fontId="26" fillId="0" borderId="69" xfId="25" applyFont="1" applyBorder="1"/>
    <xf numFmtId="166" fontId="26" fillId="0" borderId="43" xfId="26" applyNumberFormat="1" applyFont="1" applyFill="1" applyBorder="1"/>
    <xf numFmtId="0" fontId="26" fillId="0" borderId="40" xfId="0" applyFont="1" applyBorder="1"/>
    <xf numFmtId="0" fontId="26" fillId="0" borderId="73" xfId="25" applyFont="1" applyBorder="1"/>
    <xf numFmtId="0" fontId="27" fillId="0" borderId="44" xfId="25" applyFont="1" applyBorder="1"/>
    <xf numFmtId="166" fontId="27" fillId="0" borderId="45" xfId="1" applyNumberFormat="1" applyFont="1" applyFill="1" applyBorder="1"/>
    <xf numFmtId="166" fontId="27" fillId="0" borderId="44" xfId="1" applyNumberFormat="1" applyFont="1" applyFill="1" applyBorder="1"/>
    <xf numFmtId="166" fontId="27" fillId="0" borderId="46" xfId="1" applyNumberFormat="1" applyFont="1" applyFill="1" applyBorder="1"/>
    <xf numFmtId="166" fontId="26" fillId="0" borderId="67" xfId="1" applyNumberFormat="1" applyFont="1" applyFill="1" applyBorder="1"/>
    <xf numFmtId="166" fontId="26" fillId="0" borderId="44" xfId="1" applyNumberFormat="1" applyFont="1" applyFill="1" applyBorder="1"/>
    <xf numFmtId="166" fontId="27" fillId="0" borderId="68" xfId="1" applyNumberFormat="1" applyFont="1" applyFill="1" applyBorder="1"/>
    <xf numFmtId="166" fontId="26" fillId="0" borderId="46" xfId="1" applyNumberFormat="1" applyFont="1" applyFill="1" applyBorder="1"/>
    <xf numFmtId="166" fontId="27" fillId="0" borderId="44" xfId="26" applyNumberFormat="1" applyFont="1" applyFill="1" applyBorder="1" applyAlignment="1">
      <alignment horizontal="center" wrapText="1"/>
    </xf>
    <xf numFmtId="166" fontId="27" fillId="0" borderId="44" xfId="26" applyNumberFormat="1" applyFont="1" applyFill="1" applyBorder="1"/>
    <xf numFmtId="164" fontId="27" fillId="0" borderId="44" xfId="26" applyNumberFormat="1" applyFont="1" applyFill="1" applyBorder="1" applyAlignment="1">
      <alignment horizontal="left" indent="1"/>
    </xf>
    <xf numFmtId="0" fontId="27" fillId="0" borderId="75" xfId="25" applyFont="1" applyBorder="1"/>
    <xf numFmtId="0" fontId="27" fillId="0" borderId="53" xfId="25" applyFont="1" applyBorder="1"/>
    <xf numFmtId="166" fontId="27" fillId="0" borderId="50" xfId="26" applyNumberFormat="1" applyFont="1" applyFill="1" applyBorder="1"/>
    <xf numFmtId="166" fontId="27" fillId="0" borderId="51" xfId="26" applyNumberFormat="1" applyFont="1" applyFill="1" applyBorder="1"/>
    <xf numFmtId="10" fontId="39" fillId="0" borderId="4" xfId="33" applyNumberFormat="1" applyFont="1" applyBorder="1" applyAlignment="1">
      <alignment vertical="top"/>
    </xf>
    <xf numFmtId="166" fontId="27" fillId="0" borderId="0" xfId="0" applyNumberFormat="1" applyFont="1"/>
    <xf numFmtId="181" fontId="0" fillId="0" borderId="0" xfId="0" applyNumberFormat="1"/>
    <xf numFmtId="166" fontId="40" fillId="0" borderId="3" xfId="1" applyNumberFormat="1" applyFont="1" applyFill="1" applyBorder="1" applyAlignment="1">
      <alignment horizontal="center" wrapText="1"/>
    </xf>
    <xf numFmtId="166" fontId="39" fillId="0" borderId="3" xfId="1" applyNumberFormat="1" applyFont="1" applyBorder="1"/>
    <xf numFmtId="166" fontId="39" fillId="0" borderId="5" xfId="1" applyNumberFormat="1" applyFont="1" applyBorder="1"/>
    <xf numFmtId="164" fontId="27" fillId="0" borderId="3" xfId="26" applyNumberFormat="1" applyFont="1" applyFill="1" applyBorder="1" applyAlignment="1">
      <alignment horizontal="left"/>
    </xf>
    <xf numFmtId="0" fontId="26" fillId="0" borderId="22" xfId="17" applyFont="1" applyBorder="1"/>
    <xf numFmtId="0" fontId="27" fillId="0" borderId="23" xfId="17" applyFont="1" applyBorder="1"/>
    <xf numFmtId="0" fontId="26" fillId="0" borderId="12" xfId="17" applyFont="1" applyBorder="1"/>
    <xf numFmtId="0" fontId="26" fillId="0" borderId="22" xfId="0" applyFont="1" applyBorder="1" applyAlignment="1">
      <alignment horizontal="left" vertical="center"/>
    </xf>
    <xf numFmtId="0" fontId="33" fillId="0" borderId="0" xfId="0" applyFont="1" applyAlignment="1">
      <alignment horizontal="left" vertical="center"/>
    </xf>
    <xf numFmtId="0" fontId="27" fillId="0" borderId="0" xfId="0" applyFont="1" applyAlignment="1">
      <alignment horizontal="left" vertical="center"/>
    </xf>
    <xf numFmtId="0" fontId="26" fillId="0" borderId="0" xfId="0" quotePrefix="1" applyFont="1"/>
    <xf numFmtId="0" fontId="26" fillId="0" borderId="22" xfId="0" quotePrefix="1" applyFont="1" applyBorder="1" applyAlignment="1">
      <alignment horizontal="right"/>
    </xf>
    <xf numFmtId="0" fontId="33" fillId="0" borderId="0" xfId="0" applyFont="1"/>
    <xf numFmtId="0" fontId="27" fillId="0" borderId="0" xfId="0" quotePrefix="1" applyFont="1"/>
    <xf numFmtId="0" fontId="26" fillId="0" borderId="22" xfId="0" applyFont="1" applyBorder="1"/>
    <xf numFmtId="182" fontId="57" fillId="0" borderId="22" xfId="0" applyNumberFormat="1" applyFont="1" applyBorder="1" applyAlignment="1">
      <alignment horizontal="right" vertical="top"/>
    </xf>
    <xf numFmtId="183" fontId="58" fillId="0" borderId="22" xfId="0" applyNumberFormat="1" applyFont="1" applyBorder="1" applyAlignment="1">
      <alignment horizontal="right" vertical="top"/>
    </xf>
    <xf numFmtId="49" fontId="57" fillId="0" borderId="22" xfId="0" applyNumberFormat="1" applyFont="1" applyBorder="1" applyAlignment="1">
      <alignment horizontal="left" vertical="top" indent="2"/>
    </xf>
    <xf numFmtId="184" fontId="59" fillId="0" borderId="0" xfId="0" applyNumberFormat="1" applyFont="1" applyAlignment="1">
      <alignment horizontal="right" vertical="top"/>
    </xf>
    <xf numFmtId="183" fontId="60" fillId="0" borderId="0" xfId="0" applyNumberFormat="1" applyFont="1" applyAlignment="1">
      <alignment horizontal="right" vertical="top"/>
    </xf>
    <xf numFmtId="49" fontId="59" fillId="0" borderId="0" xfId="0" applyNumberFormat="1" applyFont="1" applyAlignment="1">
      <alignment vertical="top"/>
    </xf>
    <xf numFmtId="184" fontId="60" fillId="0" borderId="0" xfId="0" applyNumberFormat="1" applyFont="1" applyAlignment="1">
      <alignment horizontal="right" vertical="top"/>
    </xf>
    <xf numFmtId="183" fontId="59" fillId="0" borderId="0" xfId="0" applyNumberFormat="1" applyFont="1" applyAlignment="1">
      <alignment horizontal="right" vertical="top"/>
    </xf>
    <xf numFmtId="182" fontId="60" fillId="0" borderId="0" xfId="0" applyNumberFormat="1" applyFont="1" applyAlignment="1">
      <alignment horizontal="right" vertical="top"/>
    </xf>
    <xf numFmtId="49" fontId="60" fillId="0" borderId="0" xfId="0" applyNumberFormat="1" applyFont="1" applyAlignment="1">
      <alignment horizontal="left" vertical="top" indent="2"/>
    </xf>
    <xf numFmtId="182" fontId="59" fillId="0" borderId="0" xfId="0" applyNumberFormat="1" applyFont="1" applyAlignment="1">
      <alignment horizontal="right" vertical="top"/>
    </xf>
    <xf numFmtId="49" fontId="59" fillId="0" borderId="0" xfId="0" applyNumberFormat="1" applyFont="1" applyAlignment="1">
      <alignment horizontal="left" vertical="top" indent="2"/>
    </xf>
    <xf numFmtId="184" fontId="57" fillId="0" borderId="12" xfId="0" applyNumberFormat="1" applyFont="1" applyBorder="1" applyAlignment="1">
      <alignment horizontal="right" vertical="top"/>
    </xf>
    <xf numFmtId="183" fontId="60" fillId="0" borderId="12" xfId="0" applyNumberFormat="1" applyFont="1" applyBorder="1" applyAlignment="1">
      <alignment horizontal="right" vertical="top"/>
    </xf>
    <xf numFmtId="182" fontId="57" fillId="0" borderId="12" xfId="0" applyNumberFormat="1" applyFont="1" applyBorder="1" applyAlignment="1">
      <alignment horizontal="right" vertical="top"/>
    </xf>
    <xf numFmtId="49" fontId="57" fillId="0" borderId="0" xfId="0" applyNumberFormat="1" applyFont="1" applyAlignment="1">
      <alignment vertical="top"/>
    </xf>
    <xf numFmtId="185" fontId="60" fillId="0" borderId="0" xfId="0" applyNumberFormat="1" applyFont="1" applyAlignment="1">
      <alignment horizontal="right" vertical="top"/>
    </xf>
    <xf numFmtId="185" fontId="57" fillId="0" borderId="12" xfId="0" applyNumberFormat="1" applyFont="1" applyBorder="1" applyAlignment="1">
      <alignment horizontal="right" vertical="top"/>
    </xf>
    <xf numFmtId="182" fontId="60" fillId="0" borderId="12" xfId="0" applyNumberFormat="1" applyFont="1" applyBorder="1" applyAlignment="1">
      <alignment horizontal="right" vertical="top"/>
    </xf>
    <xf numFmtId="185" fontId="59" fillId="0" borderId="0" xfId="0" applyNumberFormat="1" applyFont="1" applyAlignment="1">
      <alignment horizontal="right" vertical="top"/>
    </xf>
    <xf numFmtId="185" fontId="57" fillId="0" borderId="22" xfId="0" applyNumberFormat="1" applyFont="1" applyBorder="1" applyAlignment="1">
      <alignment horizontal="right" vertical="top"/>
    </xf>
    <xf numFmtId="182" fontId="60" fillId="0" borderId="22" xfId="0" applyNumberFormat="1" applyFont="1" applyBorder="1" applyAlignment="1">
      <alignment horizontal="right" vertical="top"/>
    </xf>
    <xf numFmtId="49" fontId="57" fillId="0" borderId="5" xfId="0" applyNumberFormat="1" applyFont="1" applyBorder="1" applyAlignment="1">
      <alignment horizontal="center" vertical="top"/>
    </xf>
    <xf numFmtId="49" fontId="59" fillId="0" borderId="9" xfId="0" applyNumberFormat="1" applyFont="1" applyBorder="1" applyAlignment="1">
      <alignment horizontal="center" vertical="top"/>
    </xf>
    <xf numFmtId="49" fontId="57" fillId="0" borderId="1" xfId="0" applyNumberFormat="1" applyFont="1" applyBorder="1" applyAlignment="1">
      <alignment horizontal="center" vertical="top"/>
    </xf>
    <xf numFmtId="49" fontId="57" fillId="0" borderId="23" xfId="0" applyNumberFormat="1" applyFont="1" applyBorder="1" applyAlignment="1">
      <alignment horizontal="left" vertical="top" indent="2"/>
    </xf>
    <xf numFmtId="0" fontId="22" fillId="0" borderId="0" xfId="0" applyFont="1" applyAlignment="1">
      <alignment vertical="top"/>
    </xf>
    <xf numFmtId="166" fontId="27" fillId="0" borderId="3" xfId="26" applyNumberFormat="1" applyFont="1" applyFill="1" applyBorder="1" applyAlignment="1">
      <alignment horizontal="left" indent="1"/>
    </xf>
    <xf numFmtId="49" fontId="57" fillId="0" borderId="6" xfId="0" applyNumberFormat="1" applyFont="1" applyBorder="1" applyAlignment="1">
      <alignment horizontal="center" vertical="top"/>
    </xf>
    <xf numFmtId="49" fontId="57" fillId="0" borderId="6" xfId="0" applyNumberFormat="1" applyFont="1" applyBorder="1" applyAlignment="1">
      <alignment horizontal="left" vertical="top" indent="2"/>
    </xf>
    <xf numFmtId="49" fontId="57" fillId="0" borderId="11" xfId="0" applyNumberFormat="1" applyFont="1" applyBorder="1" applyAlignment="1">
      <alignment horizontal="center" vertical="top"/>
    </xf>
    <xf numFmtId="49" fontId="57" fillId="0" borderId="4" xfId="0" applyNumberFormat="1" applyFont="1" applyBorder="1" applyAlignment="1">
      <alignment horizontal="left" vertical="top" indent="2"/>
    </xf>
    <xf numFmtId="164" fontId="39" fillId="0" borderId="0" xfId="0" applyNumberFormat="1" applyFont="1"/>
    <xf numFmtId="0" fontId="62" fillId="8" borderId="36" xfId="40" applyFont="1" applyFill="1" applyBorder="1"/>
    <xf numFmtId="0" fontId="63" fillId="8" borderId="37" xfId="40" applyFont="1" applyFill="1" applyBorder="1"/>
    <xf numFmtId="166" fontId="63" fillId="8" borderId="37" xfId="1" applyNumberFormat="1" applyFont="1" applyFill="1" applyBorder="1"/>
    <xf numFmtId="166" fontId="63" fillId="8" borderId="38" xfId="1" applyNumberFormat="1" applyFont="1" applyFill="1" applyBorder="1"/>
    <xf numFmtId="0" fontId="63" fillId="8" borderId="64" xfId="40" applyFont="1" applyFill="1" applyBorder="1"/>
    <xf numFmtId="0" fontId="63" fillId="8" borderId="12" xfId="40" applyFont="1" applyFill="1" applyBorder="1"/>
    <xf numFmtId="166" fontId="63" fillId="8" borderId="12" xfId="1" applyNumberFormat="1" applyFont="1" applyFill="1" applyBorder="1"/>
    <xf numFmtId="166" fontId="63" fillId="8" borderId="71" xfId="1" applyNumberFormat="1" applyFont="1" applyFill="1" applyBorder="1"/>
    <xf numFmtId="0" fontId="63" fillId="8" borderId="39" xfId="40" applyFont="1" applyFill="1" applyBorder="1"/>
    <xf numFmtId="0" fontId="63" fillId="8" borderId="0" xfId="40" applyFont="1" applyFill="1"/>
    <xf numFmtId="0" fontId="64" fillId="8" borderId="0" xfId="40" applyFont="1" applyFill="1"/>
    <xf numFmtId="166" fontId="63" fillId="8" borderId="0" xfId="1" applyNumberFormat="1" applyFont="1" applyFill="1" applyBorder="1"/>
    <xf numFmtId="166" fontId="63" fillId="8" borderId="40" xfId="1" applyNumberFormat="1" applyFont="1" applyFill="1" applyBorder="1"/>
    <xf numFmtId="166" fontId="63" fillId="8" borderId="23" xfId="1" applyNumberFormat="1" applyFont="1" applyFill="1" applyBorder="1" applyAlignment="1">
      <alignment horizontal="center"/>
    </xf>
    <xf numFmtId="166" fontId="63" fillId="8" borderId="72" xfId="1" applyNumberFormat="1" applyFont="1" applyFill="1" applyBorder="1" applyAlignment="1">
      <alignment horizontal="center"/>
    </xf>
    <xf numFmtId="166" fontId="63" fillId="8" borderId="12" xfId="1" applyNumberFormat="1" applyFont="1" applyFill="1" applyBorder="1" applyAlignment="1">
      <alignment horizontal="center"/>
    </xf>
    <xf numFmtId="166" fontId="63" fillId="8" borderId="71" xfId="1" applyNumberFormat="1" applyFont="1" applyFill="1" applyBorder="1" applyAlignment="1">
      <alignment horizontal="center"/>
    </xf>
    <xf numFmtId="166" fontId="64" fillId="8" borderId="40" xfId="1" applyNumberFormat="1" applyFont="1" applyFill="1" applyBorder="1"/>
    <xf numFmtId="0" fontId="64" fillId="8" borderId="39" xfId="40" applyFont="1" applyFill="1" applyBorder="1"/>
    <xf numFmtId="168" fontId="63" fillId="8" borderId="40" xfId="1" applyNumberFormat="1" applyFont="1" applyFill="1" applyBorder="1"/>
    <xf numFmtId="0" fontId="65" fillId="8" borderId="0" xfId="40" applyFont="1" applyFill="1" applyAlignment="1">
      <alignment horizontal="center"/>
    </xf>
    <xf numFmtId="0" fontId="66" fillId="8" borderId="0" xfId="0" applyFont="1" applyFill="1"/>
    <xf numFmtId="0" fontId="66" fillId="8" borderId="0" xfId="0" applyFont="1" applyFill="1" applyAlignment="1">
      <alignment horizontal="right"/>
    </xf>
    <xf numFmtId="166" fontId="63" fillId="8" borderId="76" xfId="1" applyNumberFormat="1" applyFont="1" applyFill="1" applyBorder="1"/>
    <xf numFmtId="166" fontId="64" fillId="8" borderId="0" xfId="1" applyNumberFormat="1" applyFont="1" applyFill="1" applyBorder="1"/>
    <xf numFmtId="166" fontId="64" fillId="8" borderId="76" xfId="1" applyNumberFormat="1" applyFont="1" applyFill="1" applyBorder="1"/>
    <xf numFmtId="0" fontId="64" fillId="3" borderId="39" xfId="40" applyFont="1" applyFill="1" applyBorder="1"/>
    <xf numFmtId="0" fontId="64" fillId="3" borderId="0" xfId="40" applyFont="1" applyFill="1"/>
    <xf numFmtId="0" fontId="65" fillId="3" borderId="0" xfId="40" applyFont="1" applyFill="1" applyAlignment="1">
      <alignment horizontal="center"/>
    </xf>
    <xf numFmtId="166" fontId="64" fillId="3" borderId="0" xfId="1" applyNumberFormat="1" applyFont="1" applyFill="1" applyBorder="1"/>
    <xf numFmtId="166" fontId="64" fillId="3" borderId="40" xfId="1" applyNumberFormat="1" applyFont="1" applyFill="1" applyBorder="1"/>
    <xf numFmtId="166" fontId="63" fillId="8" borderId="72" xfId="1" applyNumberFormat="1" applyFont="1" applyFill="1" applyBorder="1"/>
    <xf numFmtId="166" fontId="63" fillId="8" borderId="67" xfId="1" applyNumberFormat="1" applyFont="1" applyFill="1" applyBorder="1"/>
    <xf numFmtId="0" fontId="63" fillId="8" borderId="47" xfId="40" applyFont="1" applyFill="1" applyBorder="1"/>
    <xf numFmtId="0" fontId="63" fillId="8" borderId="48" xfId="40" applyFont="1" applyFill="1" applyBorder="1"/>
    <xf numFmtId="166" fontId="63" fillId="8" borderId="48" xfId="1" applyNumberFormat="1" applyFont="1" applyFill="1" applyBorder="1"/>
    <xf numFmtId="166" fontId="63" fillId="8" borderId="49" xfId="1" applyNumberFormat="1" applyFont="1" applyFill="1" applyBorder="1"/>
    <xf numFmtId="165" fontId="26" fillId="0" borderId="28" xfId="30" applyNumberFormat="1" applyFont="1" applyBorder="1" applyAlignment="1">
      <alignment horizontal="right"/>
    </xf>
    <xf numFmtId="164" fontId="27" fillId="0" borderId="0" xfId="0" applyNumberFormat="1" applyFont="1"/>
    <xf numFmtId="166" fontId="26" fillId="0" borderId="35" xfId="26" applyNumberFormat="1" applyFont="1" applyFill="1" applyBorder="1"/>
    <xf numFmtId="166" fontId="26" fillId="0" borderId="74" xfId="26" applyNumberFormat="1" applyFont="1" applyFill="1" applyBorder="1"/>
    <xf numFmtId="0" fontId="26" fillId="0" borderId="6" xfId="25" applyFont="1" applyBorder="1" applyAlignment="1">
      <alignment horizontal="center"/>
    </xf>
    <xf numFmtId="166" fontId="26" fillId="0" borderId="8" xfId="1" applyNumberFormat="1" applyFont="1" applyFill="1" applyBorder="1" applyAlignment="1">
      <alignment horizontal="left" indent="2"/>
    </xf>
    <xf numFmtId="166" fontId="27" fillId="0" borderId="8" xfId="1" applyNumberFormat="1" applyFont="1" applyFill="1" applyBorder="1" applyAlignment="1">
      <alignment horizontal="left" indent="2"/>
    </xf>
    <xf numFmtId="166" fontId="27" fillId="0" borderId="8" xfId="1" quotePrefix="1" applyNumberFormat="1" applyFont="1" applyFill="1" applyBorder="1" applyAlignment="1">
      <alignment horizontal="left" indent="2"/>
    </xf>
    <xf numFmtId="166" fontId="26" fillId="0" borderId="8" xfId="1" quotePrefix="1" applyNumberFormat="1" applyFont="1" applyFill="1" applyBorder="1" applyAlignment="1">
      <alignment horizontal="left" indent="2"/>
    </xf>
    <xf numFmtId="166" fontId="26" fillId="0" borderId="8" xfId="1" applyNumberFormat="1" applyFont="1" applyFill="1" applyBorder="1" applyAlignment="1"/>
    <xf numFmtId="166" fontId="27" fillId="0" borderId="8" xfId="1" applyNumberFormat="1" applyFont="1" applyFill="1" applyBorder="1" applyAlignment="1"/>
    <xf numFmtId="166" fontId="26" fillId="0" borderId="2" xfId="1" applyNumberFormat="1" applyFont="1" applyFill="1" applyBorder="1" applyAlignment="1"/>
    <xf numFmtId="0" fontId="49" fillId="3" borderId="39" xfId="0" applyFont="1" applyFill="1" applyBorder="1" applyAlignment="1">
      <alignment vertical="center"/>
    </xf>
    <xf numFmtId="0" fontId="40" fillId="0" borderId="0" xfId="0" applyFont="1" applyAlignment="1">
      <alignment vertical="center"/>
    </xf>
    <xf numFmtId="165" fontId="0" fillId="0" borderId="28" xfId="1" applyFont="1" applyBorder="1"/>
    <xf numFmtId="165" fontId="2" fillId="0" borderId="0" xfId="1" applyFont="1"/>
    <xf numFmtId="165" fontId="2" fillId="0" borderId="0" xfId="1" applyFont="1" applyAlignment="1"/>
    <xf numFmtId="165" fontId="2" fillId="0" borderId="9" xfId="1" applyFont="1" applyBorder="1"/>
    <xf numFmtId="165" fontId="0" fillId="0" borderId="9" xfId="1" applyFont="1" applyBorder="1"/>
    <xf numFmtId="2" fontId="0" fillId="0" borderId="0" xfId="0" applyNumberFormat="1"/>
    <xf numFmtId="0" fontId="27" fillId="0" borderId="40" xfId="25" applyFont="1" applyBorder="1"/>
    <xf numFmtId="0" fontId="27" fillId="0" borderId="0" xfId="25" applyFont="1" applyAlignment="1">
      <alignment horizontal="left" wrapText="1"/>
    </xf>
    <xf numFmtId="0" fontId="27" fillId="0" borderId="40" xfId="25" applyFont="1" applyBorder="1" applyAlignment="1">
      <alignment horizontal="left" wrapText="1"/>
    </xf>
    <xf numFmtId="0" fontId="26" fillId="0" borderId="0" xfId="25" applyFont="1" applyAlignment="1">
      <alignment horizontal="left"/>
    </xf>
    <xf numFmtId="165" fontId="26" fillId="0" borderId="9" xfId="15" applyNumberFormat="1" applyFont="1" applyFill="1" applyBorder="1" applyAlignment="1">
      <alignment horizontal="center" vertical="center" wrapText="1"/>
    </xf>
    <xf numFmtId="0" fontId="39" fillId="0" borderId="0" xfId="17" applyFont="1" applyAlignment="1">
      <alignment horizontal="left" wrapText="1"/>
    </xf>
    <xf numFmtId="0" fontId="25" fillId="0" borderId="4" xfId="10" applyFont="1" applyBorder="1" applyAlignment="1">
      <alignment horizontal="center" wrapText="1"/>
    </xf>
    <xf numFmtId="0" fontId="40" fillId="0" borderId="23" xfId="17" applyFont="1" applyBorder="1" applyAlignment="1">
      <alignment vertical="center" wrapText="1"/>
    </xf>
    <xf numFmtId="166" fontId="39" fillId="0" borderId="5" xfId="1" applyNumberFormat="1" applyFont="1" applyFill="1" applyBorder="1"/>
    <xf numFmtId="166" fontId="27" fillId="0" borderId="0" xfId="1" applyNumberFormat="1" applyFont="1" applyBorder="1"/>
    <xf numFmtId="0" fontId="25" fillId="0" borderId="0" xfId="17" applyFont="1" applyAlignment="1">
      <alignment vertical="center"/>
    </xf>
    <xf numFmtId="164" fontId="27" fillId="0" borderId="0" xfId="15" applyNumberFormat="1" applyFont="1" applyFill="1" applyBorder="1"/>
    <xf numFmtId="165" fontId="26" fillId="0" borderId="0" xfId="15" applyNumberFormat="1" applyFont="1" applyFill="1" applyBorder="1" applyAlignment="1">
      <alignment horizontal="center"/>
    </xf>
    <xf numFmtId="165" fontId="26" fillId="0" borderId="0" xfId="15" applyNumberFormat="1" applyFont="1" applyFill="1" applyBorder="1"/>
    <xf numFmtId="164" fontId="28" fillId="0" borderId="0" xfId="17" applyNumberFormat="1" applyFont="1"/>
    <xf numFmtId="0" fontId="27" fillId="0" borderId="0" xfId="17" applyFont="1" applyAlignment="1">
      <alignment horizontal="center" wrapText="1"/>
    </xf>
    <xf numFmtId="166" fontId="27" fillId="0" borderId="0" xfId="1" applyNumberFormat="1" applyFont="1" applyFill="1" applyBorder="1" applyAlignment="1">
      <alignment horizontal="center" wrapText="1"/>
    </xf>
    <xf numFmtId="164" fontId="31" fillId="0" borderId="0" xfId="15" applyNumberFormat="1" applyFont="1" applyFill="1" applyBorder="1" applyAlignment="1">
      <alignment horizontal="center" vertical="center"/>
    </xf>
    <xf numFmtId="0" fontId="31" fillId="0" borderId="0" xfId="17" applyFont="1" applyAlignment="1">
      <alignment horizontal="center" vertical="top" wrapText="1"/>
    </xf>
    <xf numFmtId="166" fontId="39" fillId="0" borderId="0" xfId="1" applyNumberFormat="1" applyFont="1" applyFill="1" applyBorder="1" applyAlignment="1">
      <alignment vertical="top"/>
    </xf>
    <xf numFmtId="10" fontId="39" fillId="0" borderId="0" xfId="33" applyNumberFormat="1" applyFont="1" applyAlignment="1">
      <alignment vertical="top"/>
    </xf>
    <xf numFmtId="166" fontId="28" fillId="0" borderId="0" xfId="17" applyNumberFormat="1" applyFont="1" applyAlignment="1">
      <alignment horizontal="right" vertical="center"/>
    </xf>
    <xf numFmtId="10" fontId="28" fillId="0" borderId="0" xfId="17" applyNumberFormat="1" applyFont="1" applyAlignment="1">
      <alignment vertical="center"/>
    </xf>
    <xf numFmtId="165" fontId="26" fillId="0" borderId="0" xfId="15" applyNumberFormat="1" applyFont="1" applyFill="1" applyBorder="1" applyAlignment="1">
      <alignment horizontal="center" vertical="center" wrapText="1"/>
    </xf>
    <xf numFmtId="165" fontId="31" fillId="0" borderId="0" xfId="17" applyNumberFormat="1" applyFont="1" applyAlignment="1">
      <alignment vertical="top"/>
    </xf>
    <xf numFmtId="165" fontId="31" fillId="0" borderId="0" xfId="1" applyFont="1" applyFill="1" applyBorder="1" applyAlignment="1">
      <alignment vertical="top"/>
    </xf>
    <xf numFmtId="166" fontId="26" fillId="0" borderId="0" xfId="1" applyNumberFormat="1" applyFont="1" applyFill="1" applyBorder="1" applyAlignment="1">
      <alignment horizontal="center" vertical="center" wrapText="1"/>
    </xf>
    <xf numFmtId="0" fontId="24" fillId="0" borderId="0" xfId="17" applyFont="1"/>
    <xf numFmtId="0" fontId="26" fillId="0" borderId="39" xfId="17" applyFont="1" applyBorder="1" applyAlignment="1">
      <alignment horizontal="left" vertical="top"/>
    </xf>
    <xf numFmtId="0" fontId="24" fillId="0" borderId="39" xfId="17" applyFont="1" applyBorder="1" applyAlignment="1">
      <alignment horizontal="center"/>
    </xf>
    <xf numFmtId="0" fontId="26" fillId="0" borderId="0" xfId="17" applyFont="1" applyAlignment="1">
      <alignment horizontal="left" vertical="top"/>
    </xf>
    <xf numFmtId="0" fontId="26" fillId="0" borderId="40" xfId="17" applyFont="1" applyBorder="1" applyAlignment="1">
      <alignment horizontal="left" vertical="top"/>
    </xf>
    <xf numFmtId="0" fontId="25" fillId="0" borderId="73" xfId="17" applyFont="1" applyBorder="1"/>
    <xf numFmtId="0" fontId="25" fillId="0" borderId="66" xfId="17" applyFont="1" applyBorder="1"/>
    <xf numFmtId="165" fontId="26" fillId="0" borderId="43" xfId="15" applyNumberFormat="1" applyFont="1" applyFill="1" applyBorder="1" applyAlignment="1">
      <alignment horizontal="center"/>
    </xf>
    <xf numFmtId="0" fontId="26" fillId="0" borderId="44" xfId="17" applyFont="1" applyBorder="1" applyAlignment="1">
      <alignment horizontal="left"/>
    </xf>
    <xf numFmtId="164" fontId="27" fillId="0" borderId="46" xfId="15" applyNumberFormat="1" applyFont="1" applyFill="1" applyBorder="1"/>
    <xf numFmtId="164" fontId="27" fillId="0" borderId="40" xfId="15" applyNumberFormat="1" applyFont="1" applyFill="1" applyBorder="1"/>
    <xf numFmtId="0" fontId="25" fillId="0" borderId="69" xfId="17" applyFont="1" applyBorder="1"/>
    <xf numFmtId="164" fontId="26" fillId="0" borderId="43" xfId="15" applyNumberFormat="1" applyFont="1" applyFill="1" applyBorder="1"/>
    <xf numFmtId="0" fontId="25" fillId="0" borderId="39" xfId="17" applyFont="1" applyBorder="1"/>
    <xf numFmtId="0" fontId="24" fillId="0" borderId="40" xfId="17" applyFont="1" applyBorder="1" applyAlignment="1">
      <alignment horizontal="right"/>
    </xf>
    <xf numFmtId="0" fontId="39" fillId="0" borderId="0" xfId="33" applyFont="1" applyAlignment="1">
      <alignment horizontal="left" vertical="top"/>
    </xf>
    <xf numFmtId="0" fontId="39" fillId="0" borderId="40" xfId="33" applyFont="1" applyBorder="1" applyAlignment="1">
      <alignment horizontal="left" vertical="top"/>
    </xf>
    <xf numFmtId="0" fontId="24" fillId="0" borderId="73" xfId="17" applyFont="1" applyBorder="1" applyAlignment="1">
      <alignment horizontal="center"/>
    </xf>
    <xf numFmtId="0" fontId="24" fillId="0" borderId="66" xfId="17" applyFont="1" applyBorder="1" applyAlignment="1">
      <alignment horizontal="center"/>
    </xf>
    <xf numFmtId="0" fontId="24" fillId="0" borderId="44" xfId="17" applyFont="1" applyBorder="1" applyAlignment="1">
      <alignment horizontal="center" vertical="center"/>
    </xf>
    <xf numFmtId="0" fontId="52" fillId="0" borderId="44" xfId="17" applyFont="1" applyBorder="1" applyAlignment="1">
      <alignment horizontal="left" vertical="center"/>
    </xf>
    <xf numFmtId="164" fontId="27" fillId="0" borderId="40" xfId="17" applyNumberFormat="1" applyFont="1" applyBorder="1" applyAlignment="1">
      <alignment horizontal="center" wrapText="1"/>
    </xf>
    <xf numFmtId="165" fontId="27" fillId="0" borderId="40" xfId="1" applyFont="1" applyFill="1" applyBorder="1" applyAlignment="1">
      <alignment horizontal="center" wrapText="1"/>
    </xf>
    <xf numFmtId="0" fontId="24" fillId="0" borderId="69" xfId="17" applyFont="1" applyBorder="1" applyAlignment="1">
      <alignment horizontal="center"/>
    </xf>
    <xf numFmtId="164" fontId="31" fillId="0" borderId="46" xfId="15" applyNumberFormat="1" applyFont="1" applyFill="1" applyBorder="1" applyAlignment="1">
      <alignment horizontal="center" vertical="center"/>
    </xf>
    <xf numFmtId="0" fontId="24" fillId="0" borderId="40" xfId="17" applyFont="1" applyBorder="1" applyAlignment="1">
      <alignment horizontal="left" vertical="top"/>
    </xf>
    <xf numFmtId="0" fontId="27" fillId="0" borderId="40" xfId="17" applyFont="1" applyBorder="1"/>
    <xf numFmtId="0" fontId="26" fillId="0" borderId="0" xfId="17" applyFont="1"/>
    <xf numFmtId="0" fontId="26" fillId="0" borderId="40" xfId="17" applyFont="1" applyBorder="1"/>
    <xf numFmtId="0" fontId="28" fillId="0" borderId="71" xfId="17" applyFont="1" applyBorder="1" applyAlignment="1">
      <alignment wrapText="1"/>
    </xf>
    <xf numFmtId="0" fontId="27" fillId="0" borderId="0" xfId="17" quotePrefix="1" applyFont="1"/>
    <xf numFmtId="0" fontId="27" fillId="0" borderId="40" xfId="17" quotePrefix="1" applyFont="1" applyBorder="1"/>
    <xf numFmtId="165" fontId="26" fillId="0" borderId="43" xfId="15" applyNumberFormat="1" applyFont="1" applyFill="1" applyBorder="1" applyAlignment="1">
      <alignment horizontal="center" vertical="center" wrapText="1"/>
    </xf>
    <xf numFmtId="165" fontId="26" fillId="0" borderId="45" xfId="15" applyNumberFormat="1" applyFont="1" applyFill="1" applyBorder="1" applyAlignment="1">
      <alignment horizontal="center" vertical="center" wrapText="1"/>
    </xf>
    <xf numFmtId="165" fontId="26" fillId="0" borderId="44" xfId="15" applyNumberFormat="1" applyFont="1" applyFill="1" applyBorder="1" applyAlignment="1">
      <alignment horizontal="center" vertical="center" wrapText="1"/>
    </xf>
    <xf numFmtId="165" fontId="31" fillId="0" borderId="68" xfId="17" applyNumberFormat="1" applyFont="1" applyBorder="1" applyAlignment="1">
      <alignment vertical="top"/>
    </xf>
    <xf numFmtId="0" fontId="28" fillId="0" borderId="44" xfId="17" applyFont="1" applyBorder="1" applyAlignment="1">
      <alignment vertical="top"/>
    </xf>
    <xf numFmtId="165" fontId="31" fillId="0" borderId="68" xfId="1" applyFont="1" applyFill="1" applyBorder="1" applyAlignment="1">
      <alignment vertical="top"/>
    </xf>
    <xf numFmtId="0" fontId="28" fillId="0" borderId="40" xfId="17" applyFont="1" applyBorder="1"/>
    <xf numFmtId="166" fontId="26" fillId="0" borderId="44" xfId="1" applyNumberFormat="1" applyFont="1" applyFill="1" applyBorder="1" applyAlignment="1">
      <alignment horizontal="center" vertical="center" wrapText="1"/>
    </xf>
    <xf numFmtId="166" fontId="25" fillId="0" borderId="44" xfId="1" applyNumberFormat="1" applyFont="1" applyFill="1" applyBorder="1"/>
    <xf numFmtId="166" fontId="26" fillId="0" borderId="68" xfId="1" applyNumberFormat="1" applyFont="1" applyFill="1" applyBorder="1" applyAlignment="1">
      <alignment horizontal="center" vertical="center" wrapText="1"/>
    </xf>
    <xf numFmtId="166" fontId="31" fillId="0" borderId="74" xfId="1" applyNumberFormat="1" applyFont="1" applyFill="1" applyBorder="1" applyAlignment="1">
      <alignment vertical="top"/>
    </xf>
    <xf numFmtId="0" fontId="31" fillId="0" borderId="40" xfId="0" applyFont="1" applyBorder="1"/>
    <xf numFmtId="0" fontId="26" fillId="0" borderId="39" xfId="0" applyFont="1" applyBorder="1" applyAlignment="1">
      <alignment horizontal="left"/>
    </xf>
    <xf numFmtId="166" fontId="31" fillId="0" borderId="44" xfId="1" applyNumberFormat="1" applyFont="1" applyFill="1" applyBorder="1" applyAlignment="1">
      <alignment vertical="top"/>
    </xf>
    <xf numFmtId="166" fontId="31" fillId="0" borderId="46" xfId="1" applyNumberFormat="1" applyFont="1" applyFill="1" applyBorder="1" applyAlignment="1">
      <alignment vertical="top"/>
    </xf>
    <xf numFmtId="166" fontId="31" fillId="0" borderId="70" xfId="1" applyNumberFormat="1" applyFont="1" applyFill="1" applyBorder="1" applyAlignment="1">
      <alignment vertical="top"/>
    </xf>
    <xf numFmtId="166" fontId="31" fillId="0" borderId="68" xfId="1" applyNumberFormat="1" applyFont="1" applyFill="1" applyBorder="1" applyAlignment="1">
      <alignment vertical="top"/>
    </xf>
    <xf numFmtId="0" fontId="25" fillId="0" borderId="47" xfId="0" applyFont="1" applyBorder="1"/>
    <xf numFmtId="0" fontId="25" fillId="0" borderId="48" xfId="0" applyFont="1" applyBorder="1"/>
    <xf numFmtId="0" fontId="25" fillId="0" borderId="49" xfId="0" applyFont="1" applyBorder="1"/>
    <xf numFmtId="0" fontId="26" fillId="0" borderId="77" xfId="27" applyFont="1" applyBorder="1"/>
    <xf numFmtId="0" fontId="26" fillId="0" borderId="78" xfId="27" applyFont="1" applyBorder="1" applyAlignment="1">
      <alignment wrapText="1"/>
    </xf>
    <xf numFmtId="0" fontId="26" fillId="0" borderId="79" xfId="27" applyFont="1" applyBorder="1"/>
    <xf numFmtId="0" fontId="33" fillId="0" borderId="61" xfId="27" applyFont="1" applyBorder="1"/>
    <xf numFmtId="0" fontId="27" fillId="0" borderId="43" xfId="27" applyFont="1" applyBorder="1"/>
    <xf numFmtId="0" fontId="27" fillId="0" borderId="61" xfId="27" applyFont="1" applyBorder="1"/>
    <xf numFmtId="166" fontId="27" fillId="0" borderId="43" xfId="1" applyNumberFormat="1" applyFont="1" applyBorder="1"/>
    <xf numFmtId="166" fontId="26" fillId="0" borderId="68" xfId="1" applyNumberFormat="1" applyFont="1" applyBorder="1"/>
    <xf numFmtId="166" fontId="27" fillId="0" borderId="46" xfId="1" applyNumberFormat="1" applyFont="1" applyBorder="1"/>
    <xf numFmtId="0" fontId="26" fillId="0" borderId="61" xfId="27" applyFont="1" applyBorder="1"/>
    <xf numFmtId="166" fontId="27" fillId="0" borderId="68" xfId="3" applyNumberFormat="1" applyFont="1" applyBorder="1"/>
    <xf numFmtId="0" fontId="27" fillId="0" borderId="73" xfId="27" applyFont="1" applyBorder="1"/>
    <xf numFmtId="0" fontId="26" fillId="0" borderId="73" xfId="27" applyFont="1" applyBorder="1"/>
    <xf numFmtId="0" fontId="27" fillId="0" borderId="80" xfId="27" applyFont="1" applyBorder="1"/>
    <xf numFmtId="166" fontId="27" fillId="0" borderId="50" xfId="1" applyNumberFormat="1" applyFont="1" applyBorder="1"/>
    <xf numFmtId="166" fontId="27" fillId="0" borderId="51" xfId="1" applyNumberFormat="1" applyFont="1" applyBorder="1"/>
    <xf numFmtId="0" fontId="27" fillId="0" borderId="37" xfId="27" applyFont="1" applyBorder="1"/>
    <xf numFmtId="0" fontId="27" fillId="0" borderId="38" xfId="27" applyFont="1" applyBorder="1"/>
    <xf numFmtId="0" fontId="26" fillId="0" borderId="39" xfId="27" applyFont="1" applyBorder="1"/>
    <xf numFmtId="0" fontId="27" fillId="0" borderId="40" xfId="27" applyFont="1" applyBorder="1" applyAlignment="1">
      <alignment horizontal="right"/>
    </xf>
    <xf numFmtId="0" fontId="26" fillId="0" borderId="63" xfId="27" applyFont="1" applyBorder="1"/>
    <xf numFmtId="0" fontId="26" fillId="0" borderId="44" xfId="27" applyFont="1" applyBorder="1" applyAlignment="1">
      <alignment horizontal="center"/>
    </xf>
    <xf numFmtId="0" fontId="26" fillId="0" borderId="64" xfId="27" applyFont="1" applyBorder="1"/>
    <xf numFmtId="14" fontId="26" fillId="0" borderId="46" xfId="27" applyNumberFormat="1" applyFont="1" applyBorder="1" applyAlignment="1">
      <alignment horizontal="center"/>
    </xf>
    <xf numFmtId="0" fontId="27" fillId="0" borderId="39" xfId="27" applyFont="1" applyBorder="1"/>
    <xf numFmtId="0" fontId="27" fillId="0" borderId="44" xfId="27" applyFont="1" applyBorder="1"/>
    <xf numFmtId="166" fontId="27" fillId="0" borderId="44" xfId="3" applyNumberFormat="1" applyFont="1" applyBorder="1"/>
    <xf numFmtId="0" fontId="27" fillId="0" borderId="41" xfId="27" applyFont="1" applyBorder="1"/>
    <xf numFmtId="166" fontId="27" fillId="0" borderId="43" xfId="3" applyNumberFormat="1" applyFont="1" applyBorder="1"/>
    <xf numFmtId="0" fontId="27" fillId="0" borderId="40" xfId="27" applyFont="1" applyBorder="1"/>
    <xf numFmtId="0" fontId="26" fillId="0" borderId="79" xfId="27" applyFont="1" applyBorder="1" applyAlignment="1">
      <alignment wrapText="1"/>
    </xf>
    <xf numFmtId="166" fontId="27" fillId="0" borderId="43" xfId="3" applyNumberFormat="1" applyFont="1" applyFill="1" applyBorder="1"/>
    <xf numFmtId="166" fontId="27" fillId="0" borderId="44" xfId="3" applyNumberFormat="1" applyFont="1" applyFill="1" applyBorder="1"/>
    <xf numFmtId="166" fontId="27" fillId="0" borderId="45" xfId="1" applyNumberFormat="1" applyFont="1" applyBorder="1"/>
    <xf numFmtId="168" fontId="24" fillId="0" borderId="24" xfId="11" applyNumberFormat="1" applyFont="1" applyFill="1" applyBorder="1"/>
    <xf numFmtId="43" fontId="25" fillId="0" borderId="0" xfId="11" applyNumberFormat="1" applyFont="1" applyFill="1" applyBorder="1" applyAlignment="1">
      <alignment horizontal="right"/>
    </xf>
    <xf numFmtId="43" fontId="25" fillId="0" borderId="0" xfId="11" applyNumberFormat="1" applyFont="1" applyFill="1" applyBorder="1"/>
    <xf numFmtId="173" fontId="25" fillId="0" borderId="0" xfId="0" applyNumberFormat="1" applyFont="1"/>
    <xf numFmtId="168" fontId="25" fillId="0" borderId="0" xfId="11" applyNumberFormat="1" applyFont="1" applyFill="1" applyBorder="1"/>
    <xf numFmtId="166" fontId="24" fillId="0" borderId="0" xfId="3" applyNumberFormat="1" applyFont="1" applyFill="1" applyBorder="1"/>
    <xf numFmtId="168" fontId="24" fillId="0" borderId="0" xfId="11" applyNumberFormat="1" applyFont="1" applyFill="1" applyBorder="1"/>
    <xf numFmtId="166" fontId="24" fillId="0" borderId="0" xfId="3" applyNumberFormat="1" applyFont="1" applyFill="1" applyBorder="1" applyAlignment="1">
      <alignment horizontal="right"/>
    </xf>
    <xf numFmtId="164" fontId="24" fillId="0" borderId="0" xfId="11" applyNumberFormat="1" applyFont="1" applyFill="1" applyBorder="1"/>
    <xf numFmtId="0" fontId="25" fillId="0" borderId="73" xfId="10" applyFont="1" applyBorder="1" applyAlignment="1">
      <alignment horizontal="center"/>
    </xf>
    <xf numFmtId="166" fontId="25" fillId="0" borderId="44" xfId="3" applyNumberFormat="1" applyFont="1" applyFill="1" applyBorder="1"/>
    <xf numFmtId="0" fontId="25" fillId="0" borderId="66" xfId="10" applyFont="1" applyBorder="1" applyAlignment="1">
      <alignment horizontal="center"/>
    </xf>
    <xf numFmtId="166" fontId="24" fillId="0" borderId="43" xfId="3" applyNumberFormat="1" applyFont="1" applyFill="1" applyBorder="1"/>
    <xf numFmtId="166" fontId="25" fillId="0" borderId="45" xfId="3" applyNumberFormat="1" applyFont="1" applyFill="1" applyBorder="1"/>
    <xf numFmtId="166" fontId="24" fillId="0" borderId="68" xfId="3" applyNumberFormat="1" applyFont="1" applyFill="1" applyBorder="1" applyAlignment="1">
      <alignment horizontal="right"/>
    </xf>
    <xf numFmtId="168" fontId="24" fillId="0" borderId="43" xfId="11" applyNumberFormat="1" applyFont="1" applyFill="1" applyBorder="1"/>
    <xf numFmtId="166" fontId="24" fillId="0" borderId="44" xfId="3" applyNumberFormat="1" applyFont="1" applyFill="1" applyBorder="1"/>
    <xf numFmtId="166" fontId="24" fillId="0" borderId="68" xfId="3" applyNumberFormat="1" applyFont="1" applyFill="1" applyBorder="1"/>
    <xf numFmtId="168" fontId="25" fillId="0" borderId="3" xfId="11" applyNumberFormat="1" applyFont="1" applyFill="1" applyBorder="1" applyAlignment="1">
      <alignment wrapText="1"/>
    </xf>
    <xf numFmtId="168" fontId="25" fillId="0" borderId="3" xfId="11" applyNumberFormat="1" applyFont="1" applyFill="1" applyBorder="1"/>
    <xf numFmtId="166" fontId="24" fillId="0" borderId="3" xfId="1" applyNumberFormat="1" applyFont="1" applyFill="1" applyBorder="1"/>
    <xf numFmtId="164" fontId="25" fillId="0" borderId="3" xfId="11" applyNumberFormat="1" applyFont="1" applyFill="1" applyBorder="1"/>
    <xf numFmtId="164" fontId="24" fillId="0" borderId="24" xfId="11" applyNumberFormat="1" applyFont="1" applyFill="1" applyBorder="1"/>
    <xf numFmtId="168" fontId="24" fillId="0" borderId="1" xfId="11" applyNumberFormat="1" applyFont="1" applyFill="1" applyBorder="1"/>
    <xf numFmtId="171" fontId="25" fillId="0" borderId="3" xfId="11" applyNumberFormat="1" applyFont="1" applyFill="1" applyBorder="1"/>
    <xf numFmtId="171" fontId="25" fillId="0" borderId="5" xfId="11" applyNumberFormat="1" applyFont="1" applyFill="1" applyBorder="1"/>
    <xf numFmtId="166" fontId="27" fillId="0" borderId="3" xfId="1" applyNumberFormat="1" applyFont="1" applyFill="1" applyBorder="1" applyAlignment="1">
      <alignment horizontal="right"/>
    </xf>
    <xf numFmtId="166" fontId="26" fillId="0" borderId="0" xfId="1" applyNumberFormat="1" applyFont="1" applyFill="1" applyBorder="1" applyAlignment="1">
      <alignment horizontal="left" indent="2"/>
    </xf>
    <xf numFmtId="166" fontId="26" fillId="0" borderId="24" xfId="1" applyNumberFormat="1" applyFont="1" applyFill="1" applyBorder="1" applyAlignment="1">
      <alignment horizontal="right"/>
    </xf>
    <xf numFmtId="166" fontId="27" fillId="0" borderId="0" xfId="1" applyNumberFormat="1" applyFont="1" applyFill="1" applyBorder="1" applyAlignment="1">
      <alignment horizontal="left" indent="2"/>
    </xf>
    <xf numFmtId="166" fontId="27" fillId="0" borderId="0" xfId="1" quotePrefix="1" applyNumberFormat="1" applyFont="1" applyFill="1" applyBorder="1" applyAlignment="1">
      <alignment horizontal="left" indent="2"/>
    </xf>
    <xf numFmtId="166" fontId="26" fillId="0" borderId="3" xfId="1" applyNumberFormat="1" applyFont="1" applyFill="1" applyBorder="1" applyAlignment="1">
      <alignment horizontal="right"/>
    </xf>
    <xf numFmtId="166" fontId="26" fillId="0" borderId="0" xfId="1" quotePrefix="1" applyNumberFormat="1" applyFont="1" applyFill="1" applyBorder="1" applyAlignment="1">
      <alignment horizontal="left" indent="2"/>
    </xf>
    <xf numFmtId="166" fontId="26" fillId="0" borderId="0" xfId="1" applyNumberFormat="1" applyFont="1" applyFill="1" applyBorder="1" applyAlignment="1"/>
    <xf numFmtId="168" fontId="25" fillId="0" borderId="0" xfId="11" applyNumberFormat="1" applyFont="1" applyFill="1" applyBorder="1" applyAlignment="1">
      <alignment wrapText="1"/>
    </xf>
    <xf numFmtId="166" fontId="24" fillId="0" borderId="0" xfId="1" applyNumberFormat="1" applyFont="1" applyFill="1" applyBorder="1"/>
    <xf numFmtId="164" fontId="25" fillId="0" borderId="0" xfId="11" applyNumberFormat="1" applyFont="1" applyFill="1" applyBorder="1"/>
    <xf numFmtId="165" fontId="25" fillId="0" borderId="0" xfId="1" applyFont="1" applyFill="1" applyBorder="1"/>
    <xf numFmtId="171" fontId="25" fillId="0" borderId="0" xfId="11" applyNumberFormat="1" applyFont="1" applyFill="1" applyBorder="1"/>
    <xf numFmtId="166" fontId="26" fillId="0" borderId="0" xfId="3" applyNumberFormat="1" applyFont="1" applyFill="1" applyBorder="1"/>
    <xf numFmtId="166" fontId="27" fillId="0" borderId="0" xfId="3" applyNumberFormat="1" applyFont="1" applyFill="1" applyBorder="1" applyAlignment="1">
      <alignment horizontal="right"/>
    </xf>
    <xf numFmtId="165" fontId="27" fillId="0" borderId="0" xfId="1" applyFont="1" applyFill="1" applyBorder="1" applyAlignment="1">
      <alignment horizontal="right"/>
    </xf>
    <xf numFmtId="168" fontId="26" fillId="0" borderId="0" xfId="11" applyNumberFormat="1" applyFont="1" applyFill="1" applyBorder="1"/>
    <xf numFmtId="166" fontId="40" fillId="0" borderId="0" xfId="1" applyNumberFormat="1" applyFont="1" applyFill="1" applyBorder="1" applyAlignment="1">
      <alignment horizontal="center" wrapText="1"/>
    </xf>
    <xf numFmtId="165" fontId="39" fillId="0" borderId="0" xfId="1" applyFont="1" applyBorder="1"/>
    <xf numFmtId="165" fontId="40" fillId="0" borderId="0" xfId="1" applyFont="1" applyBorder="1"/>
    <xf numFmtId="165" fontId="40" fillId="0" borderId="0" xfId="1" applyFont="1" applyBorder="1" applyAlignment="1">
      <alignment horizontal="center"/>
    </xf>
    <xf numFmtId="166" fontId="40" fillId="0" borderId="0" xfId="1" applyNumberFormat="1" applyFont="1" applyBorder="1"/>
    <xf numFmtId="166" fontId="39" fillId="0" borderId="0" xfId="1" applyNumberFormat="1" applyFont="1" applyBorder="1"/>
    <xf numFmtId="173" fontId="39" fillId="0" borderId="0" xfId="1" applyNumberFormat="1" applyFont="1" applyBorder="1"/>
    <xf numFmtId="173" fontId="40" fillId="0" borderId="0" xfId="1" applyNumberFormat="1" applyFont="1" applyBorder="1"/>
    <xf numFmtId="166" fontId="39" fillId="0" borderId="0" xfId="1" applyNumberFormat="1" applyFont="1" applyFill="1" applyBorder="1" applyAlignment="1">
      <alignment horizontal="right"/>
    </xf>
    <xf numFmtId="0" fontId="39" fillId="0" borderId="0" xfId="0" applyFont="1" applyAlignment="1">
      <alignment horizontal="right"/>
    </xf>
    <xf numFmtId="166" fontId="39" fillId="0" borderId="0" xfId="1" applyNumberFormat="1" applyFont="1" applyFill="1" applyBorder="1" applyAlignment="1">
      <alignment vertical="center" wrapText="1"/>
    </xf>
    <xf numFmtId="166" fontId="39" fillId="0" borderId="0" xfId="1" applyNumberFormat="1" applyFont="1" applyFill="1" applyBorder="1" applyAlignment="1">
      <alignment horizontal="center" vertical="center" wrapText="1"/>
    </xf>
    <xf numFmtId="166" fontId="39" fillId="0" borderId="0" xfId="1" applyNumberFormat="1" applyFont="1" applyFill="1" applyBorder="1" applyAlignment="1">
      <alignment horizontal="left" vertical="center" wrapText="1" indent="6"/>
    </xf>
    <xf numFmtId="166" fontId="40" fillId="0" borderId="0" xfId="1" applyNumberFormat="1" applyFont="1" applyFill="1" applyBorder="1" applyAlignment="1">
      <alignment horizontal="center" vertical="center" wrapText="1"/>
    </xf>
    <xf numFmtId="166" fontId="39" fillId="0" borderId="0" xfId="1" applyNumberFormat="1" applyFont="1" applyFill="1" applyBorder="1" applyAlignment="1">
      <alignment horizontal="right" wrapText="1"/>
    </xf>
    <xf numFmtId="165" fontId="39" fillId="0" borderId="0" xfId="1" applyFont="1" applyFill="1" applyBorder="1"/>
    <xf numFmtId="0" fontId="39" fillId="0" borderId="40" xfId="0" applyFont="1" applyBorder="1" applyAlignment="1">
      <alignment wrapText="1"/>
    </xf>
    <xf numFmtId="166" fontId="26" fillId="0" borderId="0" xfId="2" applyNumberFormat="1" applyFont="1" applyFill="1" applyBorder="1" applyAlignment="1">
      <alignment horizontal="center" vertical="center" wrapText="1"/>
    </xf>
    <xf numFmtId="166" fontId="40" fillId="0" borderId="0" xfId="17" applyNumberFormat="1" applyFont="1" applyAlignment="1">
      <alignment horizontal="center" vertical="center" wrapText="1"/>
    </xf>
    <xf numFmtId="166" fontId="39" fillId="0" borderId="0" xfId="17" applyNumberFormat="1" applyFont="1" applyAlignment="1">
      <alignment horizontal="left" vertical="center" wrapText="1"/>
    </xf>
    <xf numFmtId="166" fontId="39" fillId="0" borderId="0" xfId="1" applyNumberFormat="1" applyFont="1" applyFill="1" applyBorder="1" applyAlignment="1">
      <alignment wrapText="1"/>
    </xf>
    <xf numFmtId="166" fontId="40" fillId="0" borderId="0" xfId="0" applyNumberFormat="1" applyFont="1" applyAlignment="1">
      <alignment horizontal="center" wrapText="1"/>
    </xf>
    <xf numFmtId="0" fontId="26" fillId="0" borderId="0" xfId="25" applyFont="1"/>
    <xf numFmtId="166" fontId="27" fillId="0" borderId="0" xfId="26" applyNumberFormat="1" applyFont="1" applyFill="1" applyBorder="1" applyAlignment="1">
      <alignment horizontal="left" indent="1"/>
    </xf>
    <xf numFmtId="166" fontId="27" fillId="0" borderId="0" xfId="12" applyNumberFormat="1" applyFont="1" applyFill="1" applyBorder="1"/>
    <xf numFmtId="166" fontId="26" fillId="0" borderId="0" xfId="26" applyNumberFormat="1" applyFont="1" applyFill="1" applyBorder="1" applyAlignment="1">
      <alignment horizontal="left" indent="1"/>
    </xf>
    <xf numFmtId="0" fontId="27" fillId="0" borderId="0" xfId="25" applyFont="1" applyAlignment="1">
      <alignment wrapText="1"/>
    </xf>
    <xf numFmtId="164" fontId="26" fillId="0" borderId="32" xfId="26" applyNumberFormat="1" applyFont="1" applyFill="1" applyBorder="1" applyAlignment="1">
      <alignment horizontal="left"/>
    </xf>
    <xf numFmtId="164" fontId="26" fillId="0" borderId="0" xfId="26" applyNumberFormat="1" applyFont="1" applyFill="1" applyBorder="1" applyAlignment="1">
      <alignment horizontal="left"/>
    </xf>
    <xf numFmtId="173" fontId="27" fillId="0" borderId="0" xfId="1" applyNumberFormat="1" applyFont="1" applyFill="1" applyBorder="1"/>
    <xf numFmtId="166" fontId="26" fillId="0" borderId="0" xfId="26" applyNumberFormat="1" applyFont="1" applyFill="1" applyBorder="1" applyAlignment="1">
      <alignment horizontal="center" wrapText="1"/>
    </xf>
    <xf numFmtId="166" fontId="26" fillId="0" borderId="0" xfId="1" applyNumberFormat="1" applyFont="1" applyFill="1" applyBorder="1"/>
    <xf numFmtId="166" fontId="27" fillId="0" borderId="0" xfId="26" applyNumberFormat="1" applyFont="1" applyFill="1" applyBorder="1" applyAlignment="1">
      <alignment horizontal="center" wrapText="1"/>
    </xf>
    <xf numFmtId="166" fontId="27" fillId="0" borderId="0" xfId="26" quotePrefix="1" applyNumberFormat="1" applyFont="1" applyFill="1" applyBorder="1" applyAlignment="1">
      <alignment horizontal="left" indent="2"/>
    </xf>
    <xf numFmtId="165" fontId="27" fillId="0" borderId="0" xfId="1" applyFont="1" applyFill="1" applyBorder="1"/>
    <xf numFmtId="165" fontId="27" fillId="0" borderId="0" xfId="0" applyNumberFormat="1" applyFont="1"/>
    <xf numFmtId="164" fontId="27" fillId="0" borderId="0" xfId="26" applyNumberFormat="1" applyFont="1" applyFill="1" applyBorder="1" applyAlignment="1">
      <alignment horizontal="left" indent="1"/>
    </xf>
    <xf numFmtId="166" fontId="27" fillId="0" borderId="0" xfId="18" applyNumberFormat="1" applyFont="1" applyFill="1" applyBorder="1" applyAlignment="1">
      <alignment horizontal="left" indent="1"/>
    </xf>
    <xf numFmtId="166" fontId="27" fillId="0" borderId="0" xfId="18" applyNumberFormat="1" applyFont="1" applyFill="1" applyBorder="1" applyAlignment="1">
      <alignment horizontal="left" wrapText="1" indent="1"/>
    </xf>
    <xf numFmtId="164" fontId="27" fillId="0" borderId="0" xfId="26" applyNumberFormat="1" applyFont="1" applyFill="1" applyBorder="1" applyAlignment="1">
      <alignment horizontal="left" wrapText="1" indent="1"/>
    </xf>
    <xf numFmtId="0" fontId="4" fillId="0" borderId="37" xfId="0" applyFont="1" applyBorder="1"/>
    <xf numFmtId="0" fontId="39" fillId="0" borderId="40" xfId="21" applyFont="1" applyBorder="1"/>
    <xf numFmtId="173" fontId="39" fillId="0" borderId="44" xfId="1" applyNumberFormat="1" applyFont="1" applyBorder="1"/>
    <xf numFmtId="0" fontId="40" fillId="0" borderId="40" xfId="17" applyFont="1" applyBorder="1" applyAlignment="1">
      <alignment vertical="center" wrapText="1"/>
    </xf>
    <xf numFmtId="0" fontId="40" fillId="0" borderId="40" xfId="17" applyFont="1" applyBorder="1"/>
    <xf numFmtId="0" fontId="40" fillId="0" borderId="71" xfId="0" applyFont="1" applyBorder="1" applyAlignment="1">
      <alignment vertical="center"/>
    </xf>
    <xf numFmtId="166" fontId="39" fillId="0" borderId="44" xfId="1" applyNumberFormat="1" applyFont="1" applyFill="1" applyBorder="1" applyAlignment="1">
      <alignment vertical="center" wrapText="1"/>
    </xf>
    <xf numFmtId="0" fontId="40" fillId="0" borderId="71" xfId="17" applyFont="1" applyBorder="1"/>
    <xf numFmtId="0" fontId="39" fillId="0" borderId="40" xfId="17" applyFont="1" applyBorder="1"/>
    <xf numFmtId="0" fontId="40" fillId="0" borderId="40" xfId="0" applyFont="1" applyBorder="1" applyAlignment="1">
      <alignment horizontal="center" vertical="center" wrapText="1"/>
    </xf>
    <xf numFmtId="0" fontId="40" fillId="0" borderId="40" xfId="0" applyFont="1" applyBorder="1" applyAlignment="1">
      <alignment vertical="center" wrapText="1"/>
    </xf>
    <xf numFmtId="0" fontId="39" fillId="0" borderId="42" xfId="0" applyFont="1" applyBorder="1"/>
    <xf numFmtId="0" fontId="39" fillId="0" borderId="40" xfId="17" applyFont="1" applyBorder="1" applyAlignment="1">
      <alignment wrapText="1"/>
    </xf>
    <xf numFmtId="0" fontId="39" fillId="0" borderId="71" xfId="0" applyFont="1" applyBorder="1"/>
    <xf numFmtId="0" fontId="40" fillId="0" borderId="42" xfId="0" applyFont="1" applyBorder="1"/>
    <xf numFmtId="166" fontId="39" fillId="0" borderId="46" xfId="1" applyNumberFormat="1" applyFont="1" applyFill="1" applyBorder="1"/>
    <xf numFmtId="166" fontId="40" fillId="0" borderId="46" xfId="1" applyNumberFormat="1" applyFont="1" applyBorder="1"/>
    <xf numFmtId="0" fontId="39" fillId="0" borderId="40" xfId="17" applyFont="1" applyBorder="1" applyAlignment="1">
      <alignment horizontal="left" vertical="center" wrapText="1"/>
    </xf>
    <xf numFmtId="0" fontId="40" fillId="0" borderId="40" xfId="17" applyFont="1" applyBorder="1" applyAlignment="1">
      <alignment horizontal="right"/>
    </xf>
    <xf numFmtId="166" fontId="40" fillId="0" borderId="43" xfId="0" applyNumberFormat="1" applyFont="1" applyBorder="1" applyAlignment="1">
      <alignment horizontal="center" wrapText="1"/>
    </xf>
    <xf numFmtId="0" fontId="26" fillId="0" borderId="40" xfId="25" applyFont="1" applyBorder="1" applyAlignment="1">
      <alignment horizontal="left"/>
    </xf>
    <xf numFmtId="166" fontId="26" fillId="0" borderId="40" xfId="2" applyNumberFormat="1" applyFont="1" applyFill="1" applyBorder="1" applyAlignment="1">
      <alignment horizontal="center" vertical="center" wrapText="1"/>
    </xf>
    <xf numFmtId="164" fontId="27" fillId="0" borderId="68" xfId="26" applyNumberFormat="1" applyFont="1" applyFill="1" applyBorder="1" applyAlignment="1">
      <alignment horizontal="left"/>
    </xf>
    <xf numFmtId="0" fontId="26" fillId="0" borderId="40" xfId="25" applyFont="1" applyBorder="1" applyAlignment="1">
      <alignment horizontal="right"/>
    </xf>
    <xf numFmtId="166" fontId="27" fillId="0" borderId="45" xfId="26" applyNumberFormat="1" applyFont="1" applyFill="1" applyBorder="1"/>
    <xf numFmtId="166" fontId="27" fillId="0" borderId="46" xfId="26" applyNumberFormat="1" applyFont="1" applyFill="1" applyBorder="1"/>
    <xf numFmtId="166" fontId="26" fillId="0" borderId="43" xfId="26" applyNumberFormat="1" applyFont="1" applyFill="1" applyBorder="1" applyAlignment="1">
      <alignment horizontal="center" wrapText="1"/>
    </xf>
    <xf numFmtId="166" fontId="27" fillId="0" borderId="44" xfId="26" quotePrefix="1" applyNumberFormat="1" applyFont="1" applyFill="1" applyBorder="1" applyAlignment="1">
      <alignment horizontal="left" indent="2"/>
    </xf>
    <xf numFmtId="165" fontId="27" fillId="0" borderId="44" xfId="1" applyFont="1" applyFill="1" applyBorder="1"/>
    <xf numFmtId="166" fontId="27" fillId="0" borderId="44" xfId="18" applyNumberFormat="1" applyFont="1" applyFill="1" applyBorder="1" applyAlignment="1">
      <alignment horizontal="left" indent="1"/>
    </xf>
    <xf numFmtId="166" fontId="27" fillId="0" borderId="44" xfId="18" applyNumberFormat="1" applyFont="1" applyFill="1" applyBorder="1" applyAlignment="1">
      <alignment horizontal="left" wrapText="1" indent="1"/>
    </xf>
    <xf numFmtId="165" fontId="27" fillId="0" borderId="46" xfId="1" applyFont="1" applyFill="1" applyBorder="1"/>
    <xf numFmtId="165" fontId="40" fillId="0" borderId="9" xfId="35" applyFont="1" applyFill="1" applyBorder="1" applyAlignment="1">
      <alignment horizontal="center" vertical="center" wrapText="1"/>
    </xf>
    <xf numFmtId="166" fontId="40" fillId="0" borderId="55" xfId="35" applyNumberFormat="1" applyFont="1" applyFill="1" applyBorder="1" applyAlignment="1">
      <alignment vertical="center"/>
    </xf>
    <xf numFmtId="166" fontId="40" fillId="0" borderId="56" xfId="35" applyNumberFormat="1" applyFont="1" applyFill="1" applyBorder="1" applyAlignment="1">
      <alignment vertical="center"/>
    </xf>
    <xf numFmtId="165" fontId="40" fillId="0" borderId="56" xfId="35" applyFont="1" applyFill="1" applyBorder="1" applyAlignment="1">
      <alignment vertical="center"/>
    </xf>
    <xf numFmtId="166" fontId="40" fillId="0" borderId="57" xfId="35" applyNumberFormat="1" applyFont="1" applyFill="1" applyBorder="1" applyAlignment="1">
      <alignment vertical="center"/>
    </xf>
    <xf numFmtId="166" fontId="27" fillId="0" borderId="44" xfId="26" applyNumberFormat="1" applyFont="1" applyFill="1" applyBorder="1" applyAlignment="1"/>
    <xf numFmtId="184" fontId="60" fillId="3" borderId="0" xfId="0" applyNumberFormat="1" applyFont="1" applyFill="1" applyAlignment="1">
      <alignment horizontal="right" vertical="top"/>
    </xf>
    <xf numFmtId="185" fontId="60" fillId="3" borderId="0" xfId="0" applyNumberFormat="1" applyFont="1" applyFill="1" applyAlignment="1">
      <alignment horizontal="right" vertical="top"/>
    </xf>
    <xf numFmtId="184" fontId="59" fillId="3" borderId="0" xfId="0" applyNumberFormat="1" applyFont="1" applyFill="1" applyAlignment="1">
      <alignment horizontal="right" vertical="top"/>
    </xf>
    <xf numFmtId="166" fontId="40" fillId="0" borderId="81" xfId="1" applyNumberFormat="1" applyFont="1" applyFill="1" applyBorder="1" applyAlignment="1">
      <alignment horizontal="center" vertical="center" wrapText="1"/>
    </xf>
    <xf numFmtId="185" fontId="59" fillId="3" borderId="0" xfId="0" applyNumberFormat="1" applyFont="1" applyFill="1" applyAlignment="1">
      <alignment horizontal="right" vertical="top"/>
    </xf>
    <xf numFmtId="166" fontId="40" fillId="0" borderId="5" xfId="1" applyNumberFormat="1" applyFont="1" applyFill="1" applyBorder="1"/>
    <xf numFmtId="166" fontId="40" fillId="0" borderId="9" xfId="1" applyNumberFormat="1" applyFont="1" applyFill="1" applyBorder="1"/>
    <xf numFmtId="166" fontId="25" fillId="0" borderId="4" xfId="1" applyNumberFormat="1" applyFont="1" applyFill="1" applyBorder="1" applyAlignment="1">
      <alignment horizontal="center" vertical="center" wrapText="1"/>
    </xf>
    <xf numFmtId="166" fontId="25" fillId="0" borderId="8" xfId="1" applyNumberFormat="1" applyFont="1" applyFill="1" applyBorder="1" applyAlignment="1">
      <alignment vertical="center" wrapText="1"/>
    </xf>
    <xf numFmtId="166" fontId="25" fillId="0" borderId="0" xfId="1" applyNumberFormat="1" applyFont="1" applyFill="1" applyBorder="1" applyAlignment="1">
      <alignment vertical="center" wrapText="1"/>
    </xf>
    <xf numFmtId="166" fontId="25" fillId="0" borderId="4" xfId="1" applyNumberFormat="1" applyFont="1" applyFill="1" applyBorder="1" applyAlignment="1">
      <alignment vertical="center" wrapText="1"/>
    </xf>
    <xf numFmtId="166" fontId="25" fillId="0" borderId="4" xfId="1" applyNumberFormat="1" applyFont="1" applyFill="1" applyBorder="1"/>
    <xf numFmtId="166" fontId="25" fillId="0" borderId="11" xfId="1" applyNumberFormat="1" applyFont="1" applyFill="1" applyBorder="1"/>
    <xf numFmtId="166" fontId="25" fillId="0" borderId="1" xfId="1" applyNumberFormat="1" applyFont="1" applyFill="1" applyBorder="1"/>
    <xf numFmtId="166" fontId="24" fillId="0" borderId="9" xfId="1" applyNumberFormat="1" applyFont="1" applyFill="1" applyBorder="1"/>
    <xf numFmtId="166" fontId="24" fillId="0" borderId="24" xfId="1" applyNumberFormat="1" applyFont="1" applyFill="1" applyBorder="1"/>
    <xf numFmtId="164" fontId="27" fillId="0" borderId="0" xfId="30" applyNumberFormat="1" applyFont="1" applyBorder="1" applyAlignment="1">
      <alignment horizontal="right"/>
    </xf>
    <xf numFmtId="164" fontId="26" fillId="0" borderId="0" xfId="30" applyNumberFormat="1" applyFont="1" applyBorder="1" applyAlignment="1">
      <alignment horizontal="right"/>
    </xf>
    <xf numFmtId="168" fontId="28" fillId="0" borderId="0" xfId="1" applyNumberFormat="1" applyFont="1" applyBorder="1"/>
    <xf numFmtId="164" fontId="26" fillId="0" borderId="0" xfId="30" applyNumberFormat="1" applyFont="1" applyBorder="1" applyAlignment="1">
      <alignment horizontal="center"/>
    </xf>
    <xf numFmtId="0" fontId="26" fillId="0" borderId="0" xfId="29" applyFont="1" applyAlignment="1">
      <alignment horizontal="center"/>
    </xf>
    <xf numFmtId="168" fontId="27" fillId="0" borderId="0" xfId="1" applyNumberFormat="1" applyFont="1" applyBorder="1"/>
    <xf numFmtId="168" fontId="26" fillId="0" borderId="0" xfId="1" applyNumberFormat="1" applyFont="1" applyBorder="1"/>
    <xf numFmtId="164" fontId="26" fillId="0" borderId="0" xfId="29" applyNumberFormat="1" applyFont="1"/>
    <xf numFmtId="1" fontId="27" fillId="0" borderId="0" xfId="29" applyNumberFormat="1" applyFont="1"/>
    <xf numFmtId="164" fontId="30" fillId="0" borderId="0" xfId="30" applyNumberFormat="1" applyFont="1" applyBorder="1" applyAlignment="1">
      <alignment horizontal="right"/>
    </xf>
    <xf numFmtId="0" fontId="39" fillId="0" borderId="48" xfId="0" applyFont="1" applyBorder="1"/>
    <xf numFmtId="0" fontId="27" fillId="0" borderId="48" xfId="27" applyFont="1" applyBorder="1"/>
    <xf numFmtId="0" fontId="27" fillId="0" borderId="36" xfId="27" applyFont="1" applyBorder="1"/>
    <xf numFmtId="166" fontId="28" fillId="0" borderId="0" xfId="0" applyNumberFormat="1" applyFont="1" applyAlignment="1">
      <alignment vertical="top"/>
    </xf>
    <xf numFmtId="184" fontId="59" fillId="3" borderId="12" xfId="0" applyNumberFormat="1" applyFont="1" applyFill="1" applyBorder="1" applyAlignment="1">
      <alignment horizontal="right" vertical="top"/>
    </xf>
    <xf numFmtId="166" fontId="31" fillId="0" borderId="34" xfId="1" applyNumberFormat="1" applyFont="1" applyFill="1" applyBorder="1" applyAlignment="1">
      <alignment vertical="top"/>
    </xf>
    <xf numFmtId="185" fontId="59" fillId="3" borderId="12" xfId="0" applyNumberFormat="1" applyFont="1" applyFill="1" applyBorder="1" applyAlignment="1">
      <alignment horizontal="right" vertical="top"/>
    </xf>
    <xf numFmtId="43" fontId="25" fillId="0" borderId="0" xfId="0" applyNumberFormat="1" applyFont="1"/>
    <xf numFmtId="183" fontId="57" fillId="0" borderId="0" xfId="0" applyNumberFormat="1" applyFont="1" applyAlignment="1">
      <alignment horizontal="right" vertical="top"/>
    </xf>
    <xf numFmtId="183" fontId="57" fillId="0" borderId="22" xfId="0" applyNumberFormat="1" applyFont="1" applyBorder="1" applyAlignment="1">
      <alignment horizontal="right" vertical="top"/>
    </xf>
    <xf numFmtId="166" fontId="40" fillId="3" borderId="10" xfId="1" applyNumberFormat="1" applyFont="1" applyFill="1" applyBorder="1"/>
    <xf numFmtId="166" fontId="40" fillId="3" borderId="68" xfId="1" applyNumberFormat="1" applyFont="1" applyFill="1" applyBorder="1" applyAlignment="1">
      <alignment horizontal="center" vertical="center" wrapText="1"/>
    </xf>
    <xf numFmtId="43" fontId="27" fillId="0" borderId="0" xfId="1" applyNumberFormat="1" applyFont="1" applyFill="1" applyBorder="1"/>
    <xf numFmtId="0" fontId="24" fillId="0" borderId="0" xfId="10" applyFont="1" applyAlignment="1">
      <alignment horizontal="center"/>
    </xf>
    <xf numFmtId="0" fontId="24" fillId="0" borderId="22" xfId="10" applyFont="1" applyBorder="1" applyAlignment="1">
      <alignment horizontal="center" vertical="center" wrapText="1"/>
    </xf>
    <xf numFmtId="49" fontId="57" fillId="0" borderId="3" xfId="0" applyNumberFormat="1" applyFont="1" applyBorder="1" applyAlignment="1">
      <alignment horizontal="left" vertical="top" indent="2"/>
    </xf>
    <xf numFmtId="49" fontId="57" fillId="0" borderId="5" xfId="0" applyNumberFormat="1" applyFont="1" applyBorder="1" applyAlignment="1">
      <alignment horizontal="left" vertical="top" indent="2"/>
    </xf>
    <xf numFmtId="49" fontId="57" fillId="0" borderId="0" xfId="0" applyNumberFormat="1" applyFont="1" applyAlignment="1">
      <alignment horizontal="left" vertical="top" indent="2"/>
    </xf>
    <xf numFmtId="182" fontId="57" fillId="0" borderId="0" xfId="0" applyNumberFormat="1" applyFont="1" applyAlignment="1">
      <alignment horizontal="right" vertical="top"/>
    </xf>
    <xf numFmtId="166" fontId="24" fillId="0" borderId="9" xfId="3" applyNumberFormat="1" applyFont="1" applyFill="1" applyBorder="1" applyAlignment="1">
      <alignment horizontal="center" vertical="center" wrapText="1"/>
    </xf>
    <xf numFmtId="166" fontId="24" fillId="0" borderId="43" xfId="3" applyNumberFormat="1" applyFont="1" applyFill="1" applyBorder="1" applyAlignment="1">
      <alignment horizontal="center" vertical="center" wrapText="1"/>
    </xf>
    <xf numFmtId="166" fontId="24" fillId="0" borderId="0" xfId="3" applyNumberFormat="1" applyFont="1" applyFill="1" applyBorder="1" applyAlignment="1">
      <alignment horizontal="center" vertical="center" wrapText="1"/>
    </xf>
    <xf numFmtId="43" fontId="24" fillId="0" borderId="0" xfId="11" applyNumberFormat="1" applyFont="1" applyFill="1" applyBorder="1" applyAlignment="1">
      <alignment horizontal="center" vertical="center" wrapText="1"/>
    </xf>
    <xf numFmtId="0" fontId="67" fillId="0" borderId="0" xfId="0" applyFont="1" applyAlignment="1">
      <alignment vertical="center" wrapText="1"/>
    </xf>
    <xf numFmtId="0" fontId="25" fillId="0" borderId="24" xfId="10" applyFont="1" applyBorder="1"/>
    <xf numFmtId="166" fontId="24" fillId="0" borderId="24" xfId="3" applyNumberFormat="1" applyFont="1" applyFill="1" applyBorder="1" applyAlignment="1">
      <alignment horizontal="center" vertical="center" wrapText="1"/>
    </xf>
    <xf numFmtId="0" fontId="25" fillId="0" borderId="0" xfId="0" applyFont="1" applyAlignment="1">
      <alignment horizontal="left" vertical="center" wrapText="1"/>
    </xf>
    <xf numFmtId="0" fontId="24" fillId="0" borderId="0" xfId="0" applyFont="1" applyAlignment="1">
      <alignment horizontal="left" vertical="center" wrapText="1"/>
    </xf>
    <xf numFmtId="166" fontId="24" fillId="0" borderId="25" xfId="10" applyNumberFormat="1" applyFont="1" applyBorder="1" applyAlignment="1">
      <alignment horizontal="center" vertical="center" wrapText="1"/>
    </xf>
    <xf numFmtId="0" fontId="25" fillId="0" borderId="3" xfId="0" applyFont="1" applyBorder="1" applyAlignment="1">
      <alignment horizontal="left" vertical="center" indent="2"/>
    </xf>
    <xf numFmtId="166" fontId="25" fillId="0" borderId="0" xfId="1" applyNumberFormat="1" applyFont="1" applyFill="1" applyBorder="1" applyAlignment="1">
      <alignment horizontal="center" vertical="center" wrapText="1"/>
    </xf>
    <xf numFmtId="0" fontId="25" fillId="0" borderId="0" xfId="0" applyFont="1" applyAlignment="1">
      <alignment horizontal="center" vertical="center" wrapText="1"/>
    </xf>
    <xf numFmtId="165" fontId="25" fillId="0" borderId="0" xfId="1" applyFont="1" applyFill="1" applyBorder="1" applyAlignment="1">
      <alignment horizontal="center" vertical="center" wrapText="1"/>
    </xf>
    <xf numFmtId="0" fontId="25" fillId="0" borderId="3" xfId="0" applyFont="1" applyBorder="1" applyAlignment="1">
      <alignment horizontal="left" vertical="center" wrapText="1" indent="2"/>
    </xf>
    <xf numFmtId="0" fontId="52" fillId="0" borderId="3" xfId="0" applyFont="1" applyBorder="1" applyAlignment="1">
      <alignment horizontal="left" vertical="center" wrapText="1" indent="2"/>
    </xf>
    <xf numFmtId="0" fontId="25" fillId="0" borderId="3" xfId="0" quotePrefix="1" applyFont="1" applyBorder="1" applyAlignment="1">
      <alignment horizontal="left" vertical="center" wrapText="1" indent="2"/>
    </xf>
    <xf numFmtId="165" fontId="25" fillId="0" borderId="0" xfId="1" applyFont="1" applyFill="1" applyBorder="1" applyAlignment="1">
      <alignment vertical="center" wrapText="1"/>
    </xf>
    <xf numFmtId="0" fontId="25" fillId="0" borderId="3" xfId="0" applyFont="1" applyBorder="1" applyAlignment="1">
      <alignment horizontal="left" indent="2"/>
    </xf>
    <xf numFmtId="183" fontId="59" fillId="3" borderId="0" xfId="0" applyNumberFormat="1" applyFont="1" applyFill="1" applyAlignment="1">
      <alignment horizontal="right" vertical="top"/>
    </xf>
    <xf numFmtId="182" fontId="59" fillId="3" borderId="0" xfId="0" applyNumberFormat="1" applyFont="1" applyFill="1" applyAlignment="1">
      <alignment horizontal="right" vertical="top"/>
    </xf>
    <xf numFmtId="183" fontId="57" fillId="3" borderId="0" xfId="0" applyNumberFormat="1" applyFont="1" applyFill="1" applyAlignment="1">
      <alignment horizontal="right" vertical="top"/>
    </xf>
    <xf numFmtId="165" fontId="2" fillId="0" borderId="28" xfId="1" applyFont="1" applyBorder="1" applyAlignment="1">
      <alignment horizontal="center"/>
    </xf>
    <xf numFmtId="165" fontId="1" fillId="0" borderId="9" xfId="1" applyFont="1" applyBorder="1"/>
    <xf numFmtId="49" fontId="57" fillId="0" borderId="9" xfId="0" applyNumberFormat="1" applyFont="1" applyBorder="1" applyAlignment="1">
      <alignment horizontal="center" vertical="top"/>
    </xf>
    <xf numFmtId="184" fontId="59" fillId="0" borderId="22" xfId="0" applyNumberFormat="1" applyFont="1" applyBorder="1" applyAlignment="1">
      <alignment horizontal="right" vertical="top"/>
    </xf>
    <xf numFmtId="186" fontId="0" fillId="0" borderId="0" xfId="0" applyNumberFormat="1"/>
    <xf numFmtId="185" fontId="59" fillId="0" borderId="12" xfId="0" applyNumberFormat="1" applyFont="1" applyBorder="1" applyAlignment="1">
      <alignment horizontal="right" vertical="top"/>
    </xf>
    <xf numFmtId="183" fontId="59" fillId="0" borderId="12" xfId="0" applyNumberFormat="1" applyFont="1" applyBorder="1" applyAlignment="1">
      <alignment horizontal="right" vertical="top"/>
    </xf>
    <xf numFmtId="49" fontId="59" fillId="0" borderId="0" xfId="0" applyNumberFormat="1" applyFont="1" applyAlignment="1">
      <alignment horizontal="left" vertical="top" indent="4"/>
    </xf>
    <xf numFmtId="49" fontId="59" fillId="0" borderId="0" xfId="0" applyNumberFormat="1" applyFont="1" applyAlignment="1">
      <alignment horizontal="left" vertical="top" indent="3"/>
    </xf>
    <xf numFmtId="49" fontId="60" fillId="0" borderId="0" xfId="0" applyNumberFormat="1" applyFont="1" applyAlignment="1">
      <alignment horizontal="left" vertical="top" indent="3"/>
    </xf>
    <xf numFmtId="184" fontId="59" fillId="0" borderId="12" xfId="0" applyNumberFormat="1" applyFont="1" applyBorder="1" applyAlignment="1">
      <alignment horizontal="right" vertical="top"/>
    </xf>
    <xf numFmtId="182" fontId="59" fillId="0" borderId="12" xfId="0" applyNumberFormat="1" applyFont="1" applyBorder="1" applyAlignment="1">
      <alignment horizontal="right" vertical="top"/>
    </xf>
    <xf numFmtId="49" fontId="60" fillId="0" borderId="0" xfId="0" applyNumberFormat="1" applyFont="1" applyAlignment="1">
      <alignment horizontal="left" vertical="top" indent="4"/>
    </xf>
    <xf numFmtId="49" fontId="60" fillId="0" borderId="0" xfId="0" applyNumberFormat="1" applyFont="1" applyAlignment="1">
      <alignment horizontal="left" vertical="top" indent="1"/>
    </xf>
    <xf numFmtId="1" fontId="0" fillId="0" borderId="0" xfId="0" applyNumberFormat="1"/>
    <xf numFmtId="185" fontId="57" fillId="3" borderId="22" xfId="0" applyNumberFormat="1" applyFont="1" applyFill="1" applyBorder="1" applyAlignment="1">
      <alignment horizontal="right" vertical="top"/>
    </xf>
    <xf numFmtId="0" fontId="39" fillId="3" borderId="2" xfId="0" applyFont="1" applyFill="1" applyBorder="1" applyAlignment="1">
      <alignment wrapText="1"/>
    </xf>
    <xf numFmtId="166" fontId="39" fillId="3" borderId="11" xfId="1" applyNumberFormat="1" applyFont="1" applyFill="1" applyBorder="1" applyAlignment="1">
      <alignment vertical="top"/>
    </xf>
    <xf numFmtId="10" fontId="39" fillId="3" borderId="4" xfId="33" applyNumberFormat="1" applyFont="1" applyFill="1" applyBorder="1" applyAlignment="1">
      <alignment vertical="top"/>
    </xf>
    <xf numFmtId="10" fontId="39" fillId="3" borderId="44" xfId="33" applyNumberFormat="1" applyFont="1" applyFill="1" applyBorder="1" applyAlignment="1">
      <alignment vertical="top"/>
    </xf>
    <xf numFmtId="0" fontId="39" fillId="3" borderId="8" xfId="33" applyFont="1" applyFill="1" applyBorder="1" applyAlignment="1">
      <alignment vertical="top"/>
    </xf>
    <xf numFmtId="166" fontId="39" fillId="3" borderId="4" xfId="1" applyNumberFormat="1" applyFont="1" applyFill="1" applyBorder="1" applyAlignment="1">
      <alignment vertical="top"/>
    </xf>
    <xf numFmtId="0" fontId="27" fillId="3" borderId="61" xfId="27" applyFont="1" applyFill="1" applyBorder="1"/>
    <xf numFmtId="0" fontId="26" fillId="3" borderId="61" xfId="27" applyFont="1" applyFill="1" applyBorder="1"/>
    <xf numFmtId="0" fontId="27" fillId="3" borderId="73" xfId="27" applyFont="1" applyFill="1" applyBorder="1"/>
    <xf numFmtId="0" fontId="26" fillId="3" borderId="73" xfId="27" applyFont="1" applyFill="1" applyBorder="1"/>
    <xf numFmtId="0" fontId="27" fillId="3" borderId="0" xfId="29" applyFont="1" applyFill="1"/>
    <xf numFmtId="0" fontId="33" fillId="3" borderId="0" xfId="29" applyFont="1" applyFill="1"/>
    <xf numFmtId="166" fontId="39" fillId="3" borderId="8" xfId="1" applyNumberFormat="1" applyFont="1" applyFill="1" applyBorder="1" applyAlignment="1">
      <alignment vertical="top"/>
    </xf>
    <xf numFmtId="10" fontId="39" fillId="3" borderId="8" xfId="33" applyNumberFormat="1" applyFont="1" applyFill="1" applyBorder="1" applyAlignment="1">
      <alignment vertical="top"/>
    </xf>
    <xf numFmtId="182" fontId="59" fillId="0" borderId="22" xfId="0" applyNumberFormat="1" applyFont="1" applyBorder="1" applyAlignment="1">
      <alignment horizontal="right" vertical="top"/>
    </xf>
    <xf numFmtId="183" fontId="59" fillId="0" borderId="22" xfId="0" applyNumberFormat="1" applyFont="1" applyBorder="1" applyAlignment="1">
      <alignment horizontal="right" vertical="top"/>
    </xf>
    <xf numFmtId="185" fontId="59" fillId="0" borderId="22" xfId="0" applyNumberFormat="1" applyFont="1" applyBorder="1" applyAlignment="1">
      <alignment horizontal="right" vertical="top"/>
    </xf>
    <xf numFmtId="185" fontId="60" fillId="0" borderId="22" xfId="0" applyNumberFormat="1" applyFont="1" applyBorder="1" applyAlignment="1">
      <alignment horizontal="right" vertical="top"/>
    </xf>
    <xf numFmtId="183" fontId="60" fillId="0" borderId="22" xfId="0" applyNumberFormat="1" applyFont="1" applyBorder="1" applyAlignment="1">
      <alignment horizontal="right" vertical="top"/>
    </xf>
    <xf numFmtId="49" fontId="60" fillId="0" borderId="0" xfId="0" applyNumberFormat="1" applyFont="1" applyAlignment="1">
      <alignment horizontal="left" vertical="top" indent="5"/>
    </xf>
    <xf numFmtId="49" fontId="60" fillId="0" borderId="0" xfId="0" applyNumberFormat="1" applyFont="1" applyAlignment="1">
      <alignment horizontal="left" vertical="top" indent="6"/>
    </xf>
    <xf numFmtId="49" fontId="60" fillId="0" borderId="0" xfId="0" applyNumberFormat="1" applyFont="1" applyAlignment="1">
      <alignment horizontal="left" vertical="top" wrapText="1" indent="5"/>
    </xf>
    <xf numFmtId="49" fontId="60" fillId="0" borderId="0" xfId="0" applyNumberFormat="1" applyFont="1" applyAlignment="1">
      <alignment horizontal="left" vertical="top" wrapText="1" indent="6"/>
    </xf>
    <xf numFmtId="185" fontId="60" fillId="0" borderId="12" xfId="0" applyNumberFormat="1" applyFont="1" applyBorder="1" applyAlignment="1">
      <alignment horizontal="right" vertical="top"/>
    </xf>
    <xf numFmtId="49" fontId="60" fillId="3" borderId="0" xfId="0" applyNumberFormat="1" applyFont="1" applyFill="1" applyAlignment="1">
      <alignment horizontal="left" vertical="top" indent="2"/>
    </xf>
    <xf numFmtId="49" fontId="60" fillId="3" borderId="0" xfId="0" applyNumberFormat="1" applyFont="1" applyFill="1" applyAlignment="1">
      <alignment horizontal="left" vertical="top" indent="3"/>
    </xf>
    <xf numFmtId="49" fontId="60" fillId="3" borderId="0" xfId="0" applyNumberFormat="1" applyFont="1" applyFill="1" applyAlignment="1">
      <alignment horizontal="left" vertical="top" indent="4"/>
    </xf>
    <xf numFmtId="166" fontId="39" fillId="3" borderId="4" xfId="1" applyNumberFormat="1" applyFont="1" applyFill="1" applyBorder="1" applyAlignment="1">
      <alignment horizontal="right"/>
    </xf>
    <xf numFmtId="170" fontId="0" fillId="0" borderId="0" xfId="0" applyNumberFormat="1"/>
    <xf numFmtId="2" fontId="2" fillId="0" borderId="0" xfId="0" applyNumberFormat="1" applyFont="1"/>
    <xf numFmtId="166" fontId="27" fillId="3" borderId="4" xfId="26" applyNumberFormat="1" applyFont="1" applyFill="1" applyBorder="1" applyAlignment="1">
      <alignment horizontal="left" indent="1"/>
    </xf>
    <xf numFmtId="166" fontId="26" fillId="0" borderId="0" xfId="27" applyNumberFormat="1" applyFont="1"/>
    <xf numFmtId="14" fontId="27" fillId="0" borderId="0" xfId="27" applyNumberFormat="1" applyFont="1"/>
    <xf numFmtId="0" fontId="0" fillId="0" borderId="0" xfId="0" applyAlignment="1">
      <alignment horizontal="center"/>
    </xf>
    <xf numFmtId="1" fontId="0" fillId="3" borderId="0" xfId="0" applyNumberFormat="1" applyFill="1"/>
    <xf numFmtId="187" fontId="60" fillId="0" borderId="0" xfId="0" applyNumberFormat="1" applyFont="1" applyAlignment="1">
      <alignment horizontal="right" vertical="top"/>
    </xf>
    <xf numFmtId="49" fontId="60" fillId="0" borderId="0" xfId="0" applyNumberFormat="1" applyFont="1" applyAlignment="1">
      <alignment horizontal="left" vertical="top" indent="7"/>
    </xf>
    <xf numFmtId="187" fontId="59" fillId="0" borderId="0" xfId="0" applyNumberFormat="1" applyFont="1" applyAlignment="1">
      <alignment horizontal="right" vertical="top"/>
    </xf>
    <xf numFmtId="187" fontId="59" fillId="0" borderId="12" xfId="0" applyNumberFormat="1" applyFont="1" applyBorder="1" applyAlignment="1">
      <alignment horizontal="right" vertical="top"/>
    </xf>
    <xf numFmtId="187" fontId="59" fillId="0" borderId="22" xfId="0" applyNumberFormat="1" applyFont="1" applyBorder="1" applyAlignment="1">
      <alignment horizontal="right" vertical="top"/>
    </xf>
    <xf numFmtId="2" fontId="0" fillId="3" borderId="0" xfId="0" applyNumberFormat="1" applyFill="1"/>
    <xf numFmtId="187" fontId="57" fillId="0" borderId="12" xfId="0" applyNumberFormat="1" applyFont="1" applyBorder="1" applyAlignment="1">
      <alignment horizontal="right" vertical="top"/>
    </xf>
    <xf numFmtId="187" fontId="57" fillId="0" borderId="22" xfId="0" applyNumberFormat="1" applyFont="1" applyBorder="1" applyAlignment="1">
      <alignment horizontal="right" vertical="top"/>
    </xf>
    <xf numFmtId="187" fontId="60" fillId="0" borderId="22" xfId="0" applyNumberFormat="1" applyFont="1" applyBorder="1" applyAlignment="1">
      <alignment horizontal="right" vertical="top"/>
    </xf>
    <xf numFmtId="2" fontId="0" fillId="0" borderId="12" xfId="0" applyNumberFormat="1" applyBorder="1"/>
    <xf numFmtId="187" fontId="60" fillId="0" borderId="12" xfId="0" applyNumberFormat="1" applyFont="1" applyBorder="1" applyAlignment="1">
      <alignment horizontal="right" vertical="top"/>
    </xf>
    <xf numFmtId="49" fontId="60" fillId="3" borderId="0" xfId="0" applyNumberFormat="1" applyFont="1" applyFill="1" applyAlignment="1">
      <alignment horizontal="left" vertical="top" indent="1"/>
    </xf>
    <xf numFmtId="49" fontId="60" fillId="2" borderId="0" xfId="0" applyNumberFormat="1" applyFont="1" applyFill="1" applyAlignment="1">
      <alignment horizontal="left" vertical="top" indent="2"/>
    </xf>
    <xf numFmtId="49" fontId="60" fillId="2" borderId="0" xfId="0" applyNumberFormat="1" applyFont="1" applyFill="1" applyAlignment="1">
      <alignment horizontal="left" vertical="top" indent="1"/>
    </xf>
    <xf numFmtId="49" fontId="57" fillId="0" borderId="1" xfId="0" applyNumberFormat="1" applyFont="1" applyBorder="1" applyAlignment="1">
      <alignment horizontal="center" vertical="top"/>
    </xf>
    <xf numFmtId="49" fontId="57" fillId="0" borderId="23" xfId="0" applyNumberFormat="1" applyFont="1" applyBorder="1" applyAlignment="1">
      <alignment horizontal="center" vertical="top"/>
    </xf>
    <xf numFmtId="49" fontId="22" fillId="0" borderId="0" xfId="0" applyNumberFormat="1" applyFont="1" applyAlignment="1">
      <alignment vertical="top"/>
    </xf>
    <xf numFmtId="49" fontId="57" fillId="0" borderId="1" xfId="0" applyNumberFormat="1" applyFont="1" applyBorder="1" applyAlignment="1">
      <alignment horizontal="center" vertical="top" wrapText="1"/>
    </xf>
    <xf numFmtId="49" fontId="57" fillId="0" borderId="23" xfId="0" applyNumberFormat="1" applyFont="1" applyBorder="1" applyAlignment="1">
      <alignment horizontal="center" vertical="top" wrapText="1"/>
    </xf>
    <xf numFmtId="49" fontId="59" fillId="0" borderId="3" xfId="0" applyNumberFormat="1" applyFont="1" applyBorder="1" applyAlignment="1">
      <alignment horizontal="center" vertical="top" wrapText="1"/>
    </xf>
    <xf numFmtId="49" fontId="59" fillId="0" borderId="0" xfId="0" applyNumberFormat="1" applyFont="1" applyAlignment="1">
      <alignment horizontal="center" vertical="top" wrapText="1"/>
    </xf>
    <xf numFmtId="49" fontId="61" fillId="0" borderId="23" xfId="0" applyNumberFormat="1" applyFont="1" applyBorder="1" applyAlignment="1">
      <alignment vertical="top"/>
    </xf>
    <xf numFmtId="49" fontId="61" fillId="0" borderId="0" xfId="0" applyNumberFormat="1" applyFont="1" applyAlignment="1">
      <alignment vertical="top"/>
    </xf>
    <xf numFmtId="49" fontId="22" fillId="0" borderId="0" xfId="0" applyNumberFormat="1" applyFont="1" applyAlignment="1">
      <alignment vertical="top" wrapText="1"/>
    </xf>
    <xf numFmtId="49" fontId="22" fillId="0" borderId="12" xfId="0" applyNumberFormat="1" applyFont="1" applyBorder="1" applyAlignment="1">
      <alignment vertical="top"/>
    </xf>
    <xf numFmtId="0" fontId="0" fillId="0" borderId="0" xfId="0" applyAlignment="1">
      <alignment horizontal="center"/>
    </xf>
    <xf numFmtId="0" fontId="24" fillId="0" borderId="36" xfId="10" applyFont="1" applyBorder="1" applyAlignment="1">
      <alignment horizontal="center"/>
    </xf>
    <xf numFmtId="0" fontId="24" fillId="0" borderId="37" xfId="10" applyFont="1" applyBorder="1" applyAlignment="1">
      <alignment horizontal="center"/>
    </xf>
    <xf numFmtId="0" fontId="24" fillId="0" borderId="38" xfId="10" applyFont="1" applyBorder="1" applyAlignment="1">
      <alignment horizontal="center"/>
    </xf>
    <xf numFmtId="0" fontId="24" fillId="0" borderId="39" xfId="10" applyFont="1" applyBorder="1" applyAlignment="1">
      <alignment horizontal="center"/>
    </xf>
    <xf numFmtId="0" fontId="24" fillId="0" borderId="0" xfId="10" applyFont="1" applyAlignment="1">
      <alignment horizontal="center"/>
    </xf>
    <xf numFmtId="0" fontId="24" fillId="0" borderId="40" xfId="10" applyFont="1" applyBorder="1" applyAlignment="1">
      <alignment horizontal="center"/>
    </xf>
    <xf numFmtId="0" fontId="24" fillId="0" borderId="64" xfId="10" applyFont="1" applyBorder="1" applyAlignment="1">
      <alignment horizontal="center"/>
    </xf>
    <xf numFmtId="0" fontId="24" fillId="0" borderId="12" xfId="10" applyFont="1" applyBorder="1" applyAlignment="1">
      <alignment horizontal="center"/>
    </xf>
    <xf numFmtId="0" fontId="24" fillId="0" borderId="71" xfId="10" applyFont="1" applyBorder="1" applyAlignment="1">
      <alignment horizontal="center"/>
    </xf>
    <xf numFmtId="0" fontId="24" fillId="0" borderId="41" xfId="10" applyFont="1" applyBorder="1" applyAlignment="1">
      <alignment horizontal="center"/>
    </xf>
    <xf numFmtId="0" fontId="24" fillId="0" borderId="22" xfId="10" applyFont="1" applyBorder="1" applyAlignment="1">
      <alignment horizontal="center"/>
    </xf>
    <xf numFmtId="0" fontId="24" fillId="0" borderId="42" xfId="10" applyFont="1" applyBorder="1" applyAlignment="1">
      <alignment horizontal="center"/>
    </xf>
    <xf numFmtId="0" fontId="24" fillId="0" borderId="22" xfId="0" applyFont="1" applyBorder="1" applyAlignment="1">
      <alignment horizontal="left" vertical="center" wrapText="1"/>
    </xf>
    <xf numFmtId="0" fontId="25" fillId="0" borderId="41" xfId="10" applyFont="1" applyBorder="1" applyAlignment="1">
      <alignment horizontal="center"/>
    </xf>
    <xf numFmtId="0" fontId="25" fillId="0" borderId="22" xfId="10" applyFont="1" applyBorder="1" applyAlignment="1">
      <alignment horizontal="center"/>
    </xf>
    <xf numFmtId="0" fontId="25" fillId="0" borderId="42" xfId="10" applyFont="1" applyBorder="1" applyAlignment="1">
      <alignment horizontal="center"/>
    </xf>
    <xf numFmtId="0" fontId="25" fillId="0" borderId="5" xfId="10" applyFont="1" applyBorder="1" applyAlignment="1">
      <alignment horizontal="center"/>
    </xf>
    <xf numFmtId="0" fontId="25" fillId="0" borderId="12" xfId="10" applyFont="1" applyBorder="1" applyAlignment="1">
      <alignment horizontal="center"/>
    </xf>
    <xf numFmtId="0" fontId="24" fillId="0" borderId="22" xfId="10" applyFont="1" applyBorder="1" applyAlignment="1">
      <alignment horizontal="center" vertical="center" wrapText="1"/>
    </xf>
    <xf numFmtId="0" fontId="24" fillId="0" borderId="25" xfId="10" applyFont="1" applyBorder="1" applyAlignment="1">
      <alignment horizontal="center" vertical="center" wrapText="1"/>
    </xf>
    <xf numFmtId="0" fontId="24" fillId="0" borderId="1" xfId="10" applyFont="1" applyBorder="1" applyAlignment="1">
      <alignment horizontal="center"/>
    </xf>
    <xf numFmtId="0" fontId="24" fillId="0" borderId="23" xfId="10" applyFont="1" applyBorder="1" applyAlignment="1">
      <alignment horizontal="center"/>
    </xf>
    <xf numFmtId="0" fontId="27" fillId="0" borderId="23" xfId="10" applyFont="1" applyBorder="1" applyAlignment="1">
      <alignment horizontal="left" wrapText="1"/>
    </xf>
    <xf numFmtId="0" fontId="64" fillId="8" borderId="39" xfId="40" applyFont="1" applyFill="1" applyBorder="1" applyAlignment="1">
      <alignment horizontal="center"/>
    </xf>
    <xf numFmtId="0" fontId="64" fillId="8" borderId="0" xfId="40" applyFont="1" applyFill="1" applyAlignment="1">
      <alignment horizontal="center"/>
    </xf>
    <xf numFmtId="0" fontId="64" fillId="8" borderId="40" xfId="40" applyFont="1" applyFill="1" applyBorder="1" applyAlignment="1">
      <alignment horizontal="center"/>
    </xf>
    <xf numFmtId="0" fontId="63" fillId="8" borderId="0" xfId="40" applyFont="1" applyFill="1" applyAlignment="1">
      <alignment horizontal="center" wrapText="1"/>
    </xf>
    <xf numFmtId="0" fontId="63" fillId="8" borderId="40" xfId="40" applyFont="1" applyFill="1" applyBorder="1" applyAlignment="1">
      <alignment horizontal="center" wrapText="1"/>
    </xf>
    <xf numFmtId="0" fontId="63" fillId="8" borderId="63" xfId="40" applyFont="1" applyFill="1" applyBorder="1" applyAlignment="1">
      <alignment horizontal="center" vertical="center"/>
    </xf>
    <xf numFmtId="0" fontId="63" fillId="8" borderId="23" xfId="40" applyFont="1" applyFill="1" applyBorder="1" applyAlignment="1">
      <alignment horizontal="center" vertical="center"/>
    </xf>
    <xf numFmtId="0" fontId="63" fillId="8" borderId="64" xfId="40" applyFont="1" applyFill="1" applyBorder="1" applyAlignment="1">
      <alignment horizontal="center" vertical="center"/>
    </xf>
    <xf numFmtId="0" fontId="63" fillId="8" borderId="12" xfId="40" applyFont="1" applyFill="1" applyBorder="1" applyAlignment="1">
      <alignment horizontal="center" vertical="center"/>
    </xf>
    <xf numFmtId="0" fontId="40" fillId="5" borderId="63" xfId="0" applyFont="1" applyFill="1" applyBorder="1" applyAlignment="1">
      <alignment horizontal="center" vertical="center"/>
    </xf>
    <xf numFmtId="0" fontId="40" fillId="5" borderId="64" xfId="0" applyFont="1" applyFill="1" applyBorder="1" applyAlignment="1">
      <alignment horizontal="center" vertical="center"/>
    </xf>
    <xf numFmtId="0" fontId="40" fillId="5" borderId="2" xfId="0" applyFont="1" applyFill="1" applyBorder="1" applyAlignment="1">
      <alignment horizontal="center" vertical="center"/>
    </xf>
    <xf numFmtId="0" fontId="40" fillId="5" borderId="7" xfId="0" applyFont="1" applyFill="1" applyBorder="1" applyAlignment="1">
      <alignment horizontal="center" vertical="center"/>
    </xf>
    <xf numFmtId="165" fontId="40" fillId="0" borderId="24" xfId="35" applyFont="1" applyFill="1" applyBorder="1" applyAlignment="1">
      <alignment horizontal="center" vertical="center" wrapText="1"/>
    </xf>
    <xf numFmtId="165" fontId="40" fillId="0" borderId="22" xfId="35" applyFont="1" applyFill="1" applyBorder="1" applyAlignment="1">
      <alignment horizontal="center" vertical="center" wrapText="1"/>
    </xf>
    <xf numFmtId="165" fontId="40" fillId="0" borderId="25" xfId="35" applyFont="1" applyFill="1" applyBorder="1" applyAlignment="1">
      <alignment horizontal="center" vertical="center" wrapText="1"/>
    </xf>
    <xf numFmtId="165" fontId="40" fillId="0" borderId="45" xfId="35" applyFont="1" applyFill="1" applyBorder="1" applyAlignment="1">
      <alignment horizontal="center" vertical="center"/>
    </xf>
    <xf numFmtId="165" fontId="40" fillId="0" borderId="46" xfId="35" applyFont="1" applyFill="1" applyBorder="1" applyAlignment="1">
      <alignment horizontal="center" vertical="center"/>
    </xf>
    <xf numFmtId="0" fontId="39" fillId="8" borderId="0" xfId="37" applyFont="1" applyFill="1" applyBorder="1" applyAlignment="1">
      <alignment vertical="top"/>
    </xf>
    <xf numFmtId="0" fontId="40" fillId="5" borderId="1" xfId="0" applyFont="1" applyFill="1" applyBorder="1" applyAlignment="1">
      <alignment horizontal="center" vertical="center"/>
    </xf>
    <xf numFmtId="0" fontId="40" fillId="5" borderId="5" xfId="0" applyFont="1" applyFill="1" applyBorder="1" applyAlignment="1">
      <alignment horizontal="center" vertical="center"/>
    </xf>
    <xf numFmtId="165" fontId="40" fillId="5" borderId="24" xfId="35" applyFont="1" applyFill="1" applyBorder="1" applyAlignment="1">
      <alignment horizontal="center" vertical="center" wrapText="1"/>
    </xf>
    <xf numFmtId="165" fontId="40" fillId="5" borderId="22" xfId="35" applyFont="1" applyFill="1" applyBorder="1" applyAlignment="1">
      <alignment horizontal="center" vertical="center" wrapText="1"/>
    </xf>
    <xf numFmtId="165" fontId="40" fillId="5" borderId="25" xfId="35" applyFont="1" applyFill="1" applyBorder="1" applyAlignment="1">
      <alignment horizontal="center" vertical="center" wrapText="1"/>
    </xf>
    <xf numFmtId="165" fontId="40" fillId="5" borderId="0" xfId="35" applyFont="1" applyFill="1" applyBorder="1" applyAlignment="1">
      <alignment horizontal="center" vertical="center"/>
    </xf>
    <xf numFmtId="0" fontId="39" fillId="8" borderId="0" xfId="37" applyFont="1" applyFill="1" applyBorder="1" applyAlignment="1">
      <alignment horizontal="left"/>
    </xf>
    <xf numFmtId="0" fontId="24" fillId="0" borderId="39" xfId="10" applyFont="1" applyBorder="1" applyAlignment="1">
      <alignment horizontal="center" wrapText="1"/>
    </xf>
    <xf numFmtId="0" fontId="24" fillId="0" borderId="0" xfId="10" applyFont="1" applyAlignment="1">
      <alignment horizontal="center" wrapText="1"/>
    </xf>
    <xf numFmtId="0" fontId="24" fillId="0" borderId="40" xfId="10" applyFont="1" applyBorder="1" applyAlignment="1">
      <alignment horizontal="center" wrapText="1"/>
    </xf>
    <xf numFmtId="0" fontId="24" fillId="0" borderId="41" xfId="10" applyFont="1" applyBorder="1" applyAlignment="1">
      <alignment horizontal="center" vertical="center" wrapText="1"/>
    </xf>
    <xf numFmtId="0" fontId="26" fillId="0" borderId="0" xfId="0" applyFont="1" applyAlignment="1">
      <alignment horizontal="center"/>
    </xf>
    <xf numFmtId="165" fontId="26" fillId="0" borderId="0" xfId="3" applyFont="1" applyFill="1" applyBorder="1" applyAlignment="1">
      <alignment horizontal="center"/>
    </xf>
    <xf numFmtId="0" fontId="27" fillId="0" borderId="0" xfId="25" applyFont="1" applyAlignment="1">
      <alignment horizontal="left"/>
    </xf>
    <xf numFmtId="0" fontId="27" fillId="0" borderId="40" xfId="25" applyFont="1" applyBorder="1" applyAlignment="1">
      <alignment horizontal="left"/>
    </xf>
    <xf numFmtId="0" fontId="27" fillId="0" borderId="5" xfId="25" applyFont="1" applyBorder="1" applyAlignment="1">
      <alignment horizontal="left" wrapText="1"/>
    </xf>
    <xf numFmtId="0" fontId="27" fillId="0" borderId="12" xfId="25" applyFont="1" applyBorder="1" applyAlignment="1">
      <alignment horizontal="left" wrapText="1"/>
    </xf>
    <xf numFmtId="0" fontId="27" fillId="0" borderId="71" xfId="25" applyFont="1" applyBorder="1" applyAlignment="1">
      <alignment horizontal="left" wrapText="1"/>
    </xf>
    <xf numFmtId="0" fontId="26" fillId="0" borderId="39" xfId="25" applyFont="1" applyBorder="1" applyAlignment="1">
      <alignment horizontal="left"/>
    </xf>
    <xf numFmtId="0" fontId="26" fillId="0" borderId="0" xfId="25" applyFont="1" applyAlignment="1">
      <alignment horizontal="left"/>
    </xf>
    <xf numFmtId="0" fontId="26" fillId="0" borderId="64" xfId="25" applyFont="1" applyBorder="1" applyAlignment="1">
      <alignment horizontal="left"/>
    </xf>
    <xf numFmtId="0" fontId="26" fillId="0" borderId="12" xfId="25" applyFont="1" applyBorder="1" applyAlignment="1">
      <alignment horizontal="left"/>
    </xf>
    <xf numFmtId="0" fontId="24" fillId="0" borderId="36" xfId="10" applyFont="1" applyBorder="1" applyAlignment="1">
      <alignment horizontal="left"/>
    </xf>
    <xf numFmtId="0" fontId="24" fillId="0" borderId="37" xfId="10" applyFont="1" applyBorder="1" applyAlignment="1">
      <alignment horizontal="left"/>
    </xf>
    <xf numFmtId="0" fontId="24" fillId="0" borderId="38" xfId="10" applyFont="1" applyBorder="1" applyAlignment="1">
      <alignment horizontal="left"/>
    </xf>
    <xf numFmtId="0" fontId="39" fillId="0" borderId="41" xfId="0" applyFont="1" applyBorder="1" applyAlignment="1">
      <alignment horizontal="left"/>
    </xf>
    <xf numFmtId="0" fontId="39" fillId="0" borderId="22" xfId="0" applyFont="1" applyBorder="1" applyAlignment="1">
      <alignment horizontal="left"/>
    </xf>
    <xf numFmtId="0" fontId="39" fillId="0" borderId="42" xfId="0" applyFont="1" applyBorder="1" applyAlignment="1">
      <alignment horizontal="left"/>
    </xf>
    <xf numFmtId="0" fontId="39" fillId="0" borderId="41" xfId="0" applyFont="1" applyBorder="1" applyAlignment="1">
      <alignment horizontal="left" wrapText="1"/>
    </xf>
    <xf numFmtId="0" fontId="39" fillId="0" borderId="22" xfId="0" applyFont="1" applyBorder="1" applyAlignment="1">
      <alignment horizontal="left" wrapText="1"/>
    </xf>
    <xf numFmtId="0" fontId="39" fillId="0" borderId="42" xfId="0" applyFont="1" applyBorder="1" applyAlignment="1">
      <alignment horizontal="left" wrapText="1"/>
    </xf>
    <xf numFmtId="0" fontId="39" fillId="0" borderId="63" xfId="0" applyFont="1" applyBorder="1" applyAlignment="1">
      <alignment horizontal="left" wrapText="1"/>
    </xf>
    <xf numFmtId="0" fontId="39" fillId="0" borderId="23" xfId="0" applyFont="1" applyBorder="1" applyAlignment="1">
      <alignment horizontal="left" wrapText="1"/>
    </xf>
    <xf numFmtId="0" fontId="39" fillId="0" borderId="72" xfId="0" applyFont="1" applyBorder="1" applyAlignment="1">
      <alignment horizontal="left" wrapText="1"/>
    </xf>
    <xf numFmtId="0" fontId="27" fillId="0" borderId="0" xfId="25" applyFont="1" applyAlignment="1">
      <alignment horizontal="left" wrapText="1"/>
    </xf>
    <xf numFmtId="0" fontId="27" fillId="0" borderId="40" xfId="25" applyFont="1" applyBorder="1" applyAlignment="1">
      <alignment horizontal="left" wrapText="1"/>
    </xf>
    <xf numFmtId="0" fontId="26" fillId="0" borderId="24" xfId="27" applyFont="1" applyBorder="1" applyAlignment="1">
      <alignment horizontal="center"/>
    </xf>
    <xf numFmtId="0" fontId="26" fillId="0" borderId="22" xfId="27" applyFont="1" applyBorder="1" applyAlignment="1">
      <alignment horizontal="center"/>
    </xf>
    <xf numFmtId="0" fontId="26" fillId="0" borderId="25" xfId="27" applyFont="1" applyBorder="1" applyAlignment="1">
      <alignment horizontal="center"/>
    </xf>
    <xf numFmtId="0" fontId="26" fillId="0" borderId="42" xfId="27" applyFont="1" applyBorder="1" applyAlignment="1">
      <alignment horizontal="center"/>
    </xf>
    <xf numFmtId="0" fontId="26" fillId="0" borderId="36" xfId="27" applyFont="1" applyBorder="1" applyAlignment="1">
      <alignment horizontal="left"/>
    </xf>
    <xf numFmtId="0" fontId="26" fillId="0" borderId="37" xfId="27" applyFont="1" applyBorder="1" applyAlignment="1">
      <alignment horizontal="left"/>
    </xf>
    <xf numFmtId="0" fontId="24" fillId="0" borderId="36" xfId="0" applyFont="1" applyBorder="1" applyAlignment="1">
      <alignment horizontal="left"/>
    </xf>
    <xf numFmtId="0" fontId="24" fillId="0" borderId="37" xfId="0" applyFont="1" applyBorder="1" applyAlignment="1">
      <alignment horizontal="left"/>
    </xf>
    <xf numFmtId="0" fontId="24" fillId="0" borderId="38" xfId="0" applyFont="1" applyBorder="1" applyAlignment="1">
      <alignment horizontal="left"/>
    </xf>
    <xf numFmtId="0" fontId="24" fillId="0" borderId="39" xfId="17" applyFont="1" applyBorder="1" applyAlignment="1">
      <alignment horizontal="center"/>
    </xf>
    <xf numFmtId="0" fontId="24" fillId="0" borderId="0" xfId="17" applyFont="1" applyAlignment="1">
      <alignment horizontal="center"/>
    </xf>
    <xf numFmtId="0" fontId="24" fillId="0" borderId="40" xfId="17" applyFont="1" applyBorder="1" applyAlignment="1">
      <alignment horizontal="center"/>
    </xf>
    <xf numFmtId="165" fontId="26" fillId="0" borderId="9" xfId="15" applyNumberFormat="1" applyFont="1" applyFill="1" applyBorder="1" applyAlignment="1">
      <alignment horizontal="center" vertical="center" wrapText="1"/>
    </xf>
    <xf numFmtId="0" fontId="31" fillId="0" borderId="2" xfId="17" applyFont="1" applyBorder="1" applyAlignment="1">
      <alignment horizontal="left" vertical="center"/>
    </xf>
    <xf numFmtId="0" fontId="25" fillId="0" borderId="7" xfId="17" applyFont="1" applyBorder="1" applyAlignment="1">
      <alignment horizontal="left" vertical="center"/>
    </xf>
    <xf numFmtId="165" fontId="26" fillId="0" borderId="0" xfId="15" applyNumberFormat="1" applyFont="1" applyFill="1" applyBorder="1" applyAlignment="1">
      <alignment horizontal="center" vertical="center" wrapText="1"/>
    </xf>
    <xf numFmtId="0" fontId="26" fillId="0" borderId="9" xfId="17" applyFont="1" applyBorder="1" applyAlignment="1">
      <alignment horizontal="center" vertical="center"/>
    </xf>
    <xf numFmtId="0" fontId="31" fillId="0" borderId="11" xfId="17" applyFont="1" applyBorder="1" applyAlignment="1">
      <alignment horizontal="center" vertical="center"/>
    </xf>
    <xf numFmtId="0" fontId="25" fillId="0" borderId="5" xfId="17" applyFont="1" applyBorder="1" applyAlignment="1">
      <alignment horizontal="center" vertical="center"/>
    </xf>
    <xf numFmtId="165" fontId="26" fillId="0" borderId="24" xfId="15" applyNumberFormat="1" applyFont="1" applyFill="1" applyBorder="1" applyAlignment="1">
      <alignment horizontal="center" vertical="center" wrapText="1"/>
    </xf>
    <xf numFmtId="165" fontId="26" fillId="0" borderId="42" xfId="15" applyNumberFormat="1" applyFont="1" applyFill="1" applyBorder="1" applyAlignment="1">
      <alignment horizontal="center" vertical="center" wrapText="1"/>
    </xf>
    <xf numFmtId="165" fontId="26" fillId="0" borderId="43" xfId="15" applyNumberFormat="1" applyFont="1" applyFill="1" applyBorder="1" applyAlignment="1">
      <alignment horizontal="center" vertical="center" wrapText="1"/>
    </xf>
    <xf numFmtId="165" fontId="26" fillId="0" borderId="25" xfId="15" applyNumberFormat="1" applyFont="1" applyFill="1" applyBorder="1" applyAlignment="1">
      <alignment horizontal="center" vertical="center" wrapText="1"/>
    </xf>
    <xf numFmtId="0" fontId="25" fillId="0" borderId="3" xfId="17" applyFont="1" applyBorder="1" applyAlignment="1">
      <alignment horizontal="left" vertical="center" wrapText="1"/>
    </xf>
    <xf numFmtId="0" fontId="25" fillId="0" borderId="0" xfId="17" applyFont="1" applyAlignment="1">
      <alignment horizontal="left" vertical="center" wrapText="1"/>
    </xf>
    <xf numFmtId="0" fontId="25" fillId="0" borderId="40" xfId="17" applyFont="1" applyBorder="1" applyAlignment="1">
      <alignment horizontal="left" vertical="center" wrapText="1"/>
    </xf>
    <xf numFmtId="49" fontId="57" fillId="0" borderId="24" xfId="0" applyNumberFormat="1" applyFont="1" applyBorder="1" applyAlignment="1">
      <alignment horizontal="center" vertical="top"/>
    </xf>
    <xf numFmtId="49" fontId="57" fillId="0" borderId="25" xfId="0" applyNumberFormat="1" applyFont="1" applyBorder="1" applyAlignment="1">
      <alignment horizontal="center" vertical="top"/>
    </xf>
    <xf numFmtId="49" fontId="59" fillId="0" borderId="5" xfId="0" applyNumberFormat="1" applyFont="1" applyBorder="1" applyAlignment="1">
      <alignment horizontal="center" vertical="top" wrapText="1"/>
    </xf>
    <xf numFmtId="49" fontId="59" fillId="0" borderId="12" xfId="0" applyNumberFormat="1" applyFont="1" applyBorder="1" applyAlignment="1">
      <alignment horizontal="center" vertical="top" wrapText="1"/>
    </xf>
    <xf numFmtId="0" fontId="38" fillId="0" borderId="9" xfId="0" applyFont="1" applyBorder="1" applyAlignment="1">
      <alignment horizontal="center" vertical="center"/>
    </xf>
    <xf numFmtId="0" fontId="38" fillId="0" borderId="0" xfId="0" applyFont="1" applyAlignment="1">
      <alignment horizontal="left" wrapText="1"/>
    </xf>
    <xf numFmtId="15" fontId="38" fillId="0" borderId="9" xfId="0" applyNumberFormat="1" applyFont="1" applyBorder="1" applyAlignment="1">
      <alignment horizontal="center" vertical="center"/>
    </xf>
    <xf numFmtId="0" fontId="40" fillId="0" borderId="0" xfId="0" applyFont="1" applyAlignment="1">
      <alignment horizontal="center"/>
    </xf>
    <xf numFmtId="166" fontId="40" fillId="0" borderId="9" xfId="1" applyNumberFormat="1" applyFont="1" applyFill="1" applyBorder="1" applyAlignment="1">
      <alignment horizontal="center" wrapText="1"/>
    </xf>
    <xf numFmtId="0" fontId="39" fillId="0" borderId="23" xfId="17" applyFont="1" applyBorder="1" applyAlignment="1">
      <alignment horizontal="left" vertical="center" wrapText="1"/>
    </xf>
    <xf numFmtId="0" fontId="39" fillId="0" borderId="0" xfId="17" applyFont="1" applyAlignment="1">
      <alignment horizontal="left" vertical="center" wrapText="1"/>
    </xf>
    <xf numFmtId="0" fontId="39" fillId="0" borderId="2" xfId="17" applyFont="1" applyBorder="1" applyAlignment="1">
      <alignment horizontal="center"/>
    </xf>
    <xf numFmtId="0" fontId="39" fillId="0" borderId="7" xfId="17" applyFont="1" applyBorder="1" applyAlignment="1">
      <alignment horizontal="center"/>
    </xf>
    <xf numFmtId="0" fontId="37" fillId="0" borderId="0" xfId="0" applyFont="1" applyAlignment="1">
      <alignment horizontal="center"/>
    </xf>
    <xf numFmtId="0" fontId="37" fillId="0" borderId="0" xfId="17" applyFont="1" applyAlignment="1">
      <alignment horizontal="center"/>
    </xf>
    <xf numFmtId="0" fontId="39" fillId="0" borderId="0" xfId="17" applyFont="1" applyAlignment="1">
      <alignment horizontal="left" wrapText="1"/>
    </xf>
    <xf numFmtId="0" fontId="38" fillId="0" borderId="5" xfId="17" applyFont="1" applyBorder="1" applyAlignment="1">
      <alignment horizontal="left" wrapText="1"/>
    </xf>
    <xf numFmtId="0" fontId="38" fillId="0" borderId="12" xfId="17" applyFont="1" applyBorder="1" applyAlignment="1">
      <alignment horizontal="left" wrapText="1"/>
    </xf>
    <xf numFmtId="0" fontId="38" fillId="0" borderId="7" xfId="17" applyFont="1" applyBorder="1" applyAlignment="1">
      <alignment horizontal="left" wrapText="1"/>
    </xf>
    <xf numFmtId="0" fontId="37" fillId="0" borderId="0" xfId="0" applyFont="1" applyAlignment="1">
      <alignment horizontal="left"/>
    </xf>
    <xf numFmtId="0" fontId="37" fillId="0" borderId="0" xfId="0" applyFont="1" applyAlignment="1">
      <alignment horizontal="left" vertical="center" wrapText="1"/>
    </xf>
    <xf numFmtId="0" fontId="37" fillId="0" borderId="12" xfId="0" applyFont="1" applyBorder="1" applyAlignment="1">
      <alignment horizontal="left"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9" fillId="0" borderId="24" xfId="0" applyFont="1" applyBorder="1" applyAlignment="1">
      <alignment horizontal="center"/>
    </xf>
    <xf numFmtId="0" fontId="9" fillId="0" borderId="22" xfId="0" applyFont="1" applyBorder="1" applyAlignment="1">
      <alignment horizontal="center"/>
    </xf>
    <xf numFmtId="0" fontId="9" fillId="0" borderId="25" xfId="0" applyFont="1" applyBorder="1" applyAlignment="1">
      <alignment horizontal="center"/>
    </xf>
    <xf numFmtId="0" fontId="25" fillId="0" borderId="0" xfId="28" applyFont="1" applyAlignment="1">
      <alignment horizontal="left" wrapText="1"/>
    </xf>
    <xf numFmtId="0" fontId="26" fillId="0" borderId="11" xfId="28" applyFont="1" applyBorder="1" applyAlignment="1">
      <alignment horizontal="left" vertical="center" wrapText="1"/>
    </xf>
    <xf numFmtId="0" fontId="26" fillId="0" borderId="6" xfId="28" applyFont="1" applyBorder="1" applyAlignment="1">
      <alignment horizontal="left" vertical="center" wrapText="1"/>
    </xf>
    <xf numFmtId="0" fontId="24" fillId="0" borderId="5" xfId="0" applyFont="1" applyBorder="1" applyAlignment="1">
      <alignment horizontal="left" wrapText="1"/>
    </xf>
    <xf numFmtId="0" fontId="24" fillId="0" borderId="12" xfId="0" applyFont="1" applyBorder="1" applyAlignment="1">
      <alignment horizontal="left" wrapText="1"/>
    </xf>
    <xf numFmtId="0" fontId="24" fillId="0" borderId="7" xfId="0" applyFont="1" applyBorder="1" applyAlignment="1">
      <alignment horizontal="left" wrapText="1"/>
    </xf>
    <xf numFmtId="0" fontId="26" fillId="0" borderId="0" xfId="29" applyFont="1" applyAlignment="1">
      <alignment horizontal="center"/>
    </xf>
    <xf numFmtId="0" fontId="26" fillId="0" borderId="0" xfId="29" quotePrefix="1" applyFont="1" applyAlignment="1">
      <alignment horizontal="center"/>
    </xf>
    <xf numFmtId="0" fontId="26" fillId="0" borderId="9" xfId="29" applyFont="1" applyBorder="1" applyAlignment="1">
      <alignment horizontal="center"/>
    </xf>
    <xf numFmtId="49" fontId="57" fillId="0" borderId="9" xfId="0" applyNumberFormat="1" applyFont="1" applyBorder="1" applyAlignment="1">
      <alignment horizontal="center" vertical="top"/>
    </xf>
    <xf numFmtId="49" fontId="60" fillId="0" borderId="23" xfId="0" applyNumberFormat="1" applyFont="1" applyBorder="1" applyAlignment="1">
      <alignment horizontal="center" vertical="top" wrapText="1"/>
    </xf>
    <xf numFmtId="49" fontId="57" fillId="0" borderId="3" xfId="0" applyNumberFormat="1" applyFont="1" applyBorder="1" applyAlignment="1">
      <alignment horizontal="center" vertical="top" wrapText="1"/>
    </xf>
    <xf numFmtId="49" fontId="57" fillId="0" borderId="0" xfId="0" applyNumberFormat="1" applyFont="1" applyAlignment="1">
      <alignment horizontal="center" vertical="top" wrapText="1"/>
    </xf>
    <xf numFmtId="165" fontId="2" fillId="0" borderId="28" xfId="1" applyFont="1" applyBorder="1" applyAlignment="1">
      <alignment horizontal="center"/>
    </xf>
    <xf numFmtId="165" fontId="2" fillId="0" borderId="0" xfId="1" applyFont="1" applyAlignment="1">
      <alignment horizontal="center"/>
    </xf>
    <xf numFmtId="0" fontId="27" fillId="0" borderId="0" xfId="19" applyFont="1" applyAlignment="1">
      <alignment horizontal="justify" vertical="top" wrapText="1"/>
    </xf>
    <xf numFmtId="0" fontId="24" fillId="0" borderId="0" xfId="19" applyFont="1" applyAlignment="1">
      <alignment horizontal="left" vertical="center"/>
    </xf>
    <xf numFmtId="0" fontId="27" fillId="0" borderId="0" xfId="19" applyFont="1" applyAlignment="1">
      <alignment vertical="top" wrapText="1"/>
    </xf>
    <xf numFmtId="0" fontId="27" fillId="5" borderId="0" xfId="19" applyFont="1" applyFill="1" applyAlignment="1">
      <alignment horizontal="justify" vertical="top" wrapText="1"/>
    </xf>
    <xf numFmtId="0" fontId="25" fillId="0" borderId="0" xfId="19" applyFont="1" applyAlignment="1">
      <alignment horizontal="left" vertical="top" wrapText="1"/>
    </xf>
    <xf numFmtId="0" fontId="25" fillId="0" borderId="0" xfId="19" applyFont="1" applyAlignment="1">
      <alignment vertical="top" wrapText="1"/>
    </xf>
    <xf numFmtId="0" fontId="27" fillId="0" borderId="0" xfId="19" applyFont="1" applyAlignment="1">
      <alignment horizontal="left" vertical="top" wrapText="1"/>
    </xf>
    <xf numFmtId="0" fontId="25" fillId="0" borderId="0" xfId="0" applyFont="1" applyAlignment="1">
      <alignment horizontal="left" wrapText="1"/>
    </xf>
    <xf numFmtId="0" fontId="12" fillId="0" borderId="0" xfId="10" applyFont="1" applyAlignment="1">
      <alignment horizontal="center"/>
    </xf>
    <xf numFmtId="0" fontId="12" fillId="0" borderId="1" xfId="10" applyFont="1" applyBorder="1" applyAlignment="1">
      <alignment horizontal="center" vertical="center"/>
    </xf>
    <xf numFmtId="0" fontId="12" fillId="0" borderId="2" xfId="10" applyFont="1" applyBorder="1" applyAlignment="1">
      <alignment horizontal="center" vertical="center"/>
    </xf>
    <xf numFmtId="0" fontId="12" fillId="0" borderId="5" xfId="10" applyFont="1" applyBorder="1" applyAlignment="1">
      <alignment horizontal="center" vertical="center"/>
    </xf>
    <xf numFmtId="0" fontId="12" fillId="0" borderId="7" xfId="10" applyFont="1" applyBorder="1" applyAlignment="1">
      <alignment horizontal="center" vertical="center"/>
    </xf>
    <xf numFmtId="0" fontId="12" fillId="0" borderId="24" xfId="10" applyFont="1" applyBorder="1" applyAlignment="1">
      <alignment horizontal="center" vertical="center" wrapText="1"/>
    </xf>
    <xf numFmtId="0" fontId="12" fillId="0" borderId="25" xfId="10" applyFont="1" applyBorder="1" applyAlignment="1">
      <alignment horizontal="center" vertical="center" wrapText="1"/>
    </xf>
    <xf numFmtId="0" fontId="12" fillId="0" borderId="11" xfId="10" applyFont="1" applyBorder="1" applyAlignment="1">
      <alignment horizontal="center" vertical="center" wrapText="1"/>
    </xf>
    <xf numFmtId="0" fontId="12" fillId="0" borderId="8" xfId="10" applyFont="1" applyBorder="1" applyAlignment="1">
      <alignment horizontal="center" vertical="center" wrapText="1"/>
    </xf>
    <xf numFmtId="0" fontId="9" fillId="0" borderId="0" xfId="0" applyFont="1" applyAlignment="1">
      <alignment horizontal="center"/>
    </xf>
    <xf numFmtId="165" fontId="9" fillId="0" borderId="0" xfId="1" applyFont="1" applyAlignment="1">
      <alignment horizontal="center"/>
    </xf>
    <xf numFmtId="166" fontId="9" fillId="0" borderId="0" xfId="2" applyNumberFormat="1" applyFont="1" applyFill="1" applyAlignment="1">
      <alignment horizontal="left"/>
    </xf>
    <xf numFmtId="166" fontId="8" fillId="0" borderId="0" xfId="2" applyNumberFormat="1" applyFont="1" applyFill="1" applyAlignment="1">
      <alignment horizontal="left"/>
    </xf>
    <xf numFmtId="0" fontId="16" fillId="0" borderId="0" xfId="0" applyFont="1" applyAlignment="1">
      <alignment horizontal="center"/>
    </xf>
    <xf numFmtId="0" fontId="12" fillId="0" borderId="0" xfId="0" applyFont="1" applyAlignment="1">
      <alignment horizontal="center"/>
    </xf>
    <xf numFmtId="0" fontId="18" fillId="0" borderId="0" xfId="0" applyFont="1" applyAlignment="1">
      <alignment horizontal="center"/>
    </xf>
    <xf numFmtId="0" fontId="16" fillId="0" borderId="0" xfId="0" applyFont="1"/>
    <xf numFmtId="0" fontId="2" fillId="0" borderId="0" xfId="0" applyFont="1" applyAlignment="1">
      <alignment horizontal="center"/>
    </xf>
    <xf numFmtId="49" fontId="58" fillId="0" borderId="0" xfId="0" applyNumberFormat="1" applyFont="1" applyAlignment="1">
      <alignment horizontal="left" vertical="top"/>
    </xf>
    <xf numFmtId="185" fontId="58" fillId="0" borderId="0" xfId="0" applyNumberFormat="1" applyFont="1" applyAlignment="1">
      <alignment horizontal="right" vertical="top"/>
    </xf>
    <xf numFmtId="164" fontId="26" fillId="0" borderId="3" xfId="26" applyNumberFormat="1" applyFont="1" applyFill="1" applyBorder="1" applyAlignment="1">
      <alignment horizontal="left"/>
    </xf>
    <xf numFmtId="164" fontId="26" fillId="0" borderId="44" xfId="26" applyNumberFormat="1" applyFont="1" applyFill="1" applyBorder="1" applyAlignment="1">
      <alignment horizontal="left"/>
    </xf>
    <xf numFmtId="0" fontId="25" fillId="0" borderId="66" xfId="10" applyFont="1" applyFill="1" applyBorder="1" applyAlignment="1">
      <alignment horizontal="center"/>
    </xf>
    <xf numFmtId="0" fontId="25" fillId="0" borderId="0" xfId="10" applyFont="1" applyFill="1" applyAlignment="1">
      <alignment horizontal="left" indent="2"/>
    </xf>
    <xf numFmtId="0" fontId="25" fillId="0" borderId="4" xfId="10" applyFont="1" applyFill="1" applyBorder="1" applyAlignment="1">
      <alignment horizontal="center"/>
    </xf>
    <xf numFmtId="0" fontId="25" fillId="0" borderId="0" xfId="10" applyFont="1" applyFill="1"/>
    <xf numFmtId="0" fontId="24" fillId="0" borderId="0" xfId="10" applyFont="1" applyFill="1" applyAlignment="1">
      <alignment horizontal="right" indent="1"/>
    </xf>
    <xf numFmtId="0" fontId="24" fillId="0" borderId="4" xfId="10" applyFont="1" applyFill="1" applyBorder="1" applyAlignment="1">
      <alignment horizontal="center"/>
    </xf>
    <xf numFmtId="0" fontId="24" fillId="0" borderId="0" xfId="10" applyFont="1" applyFill="1"/>
    <xf numFmtId="0" fontId="25" fillId="0" borderId="0" xfId="10" applyFont="1" applyFill="1" applyAlignment="1">
      <alignment horizontal="left" indent="4"/>
    </xf>
    <xf numFmtId="0" fontId="24" fillId="0" borderId="0" xfId="10" applyFont="1" applyFill="1" applyAlignment="1">
      <alignment horizontal="right"/>
    </xf>
    <xf numFmtId="0" fontId="25" fillId="0" borderId="0" xfId="10" applyFont="1" applyFill="1" applyAlignment="1">
      <alignment horizontal="left"/>
    </xf>
    <xf numFmtId="1" fontId="25" fillId="0" borderId="4" xfId="10" applyNumberFormat="1" applyFont="1" applyFill="1" applyBorder="1" applyAlignment="1">
      <alignment horizontal="center"/>
    </xf>
    <xf numFmtId="170" fontId="25" fillId="0" borderId="4" xfId="10" applyNumberFormat="1" applyFont="1" applyFill="1" applyBorder="1" applyAlignment="1">
      <alignment horizontal="center"/>
    </xf>
    <xf numFmtId="0" fontId="24" fillId="0" borderId="66" xfId="10" applyFont="1" applyFill="1" applyBorder="1" applyAlignment="1">
      <alignment horizontal="center"/>
    </xf>
    <xf numFmtId="0" fontId="25" fillId="0" borderId="69" xfId="10" applyFont="1" applyFill="1" applyBorder="1" applyAlignment="1">
      <alignment horizontal="center"/>
    </xf>
    <xf numFmtId="0" fontId="24" fillId="0" borderId="12" xfId="10" applyFont="1" applyFill="1" applyBorder="1" applyAlignment="1">
      <alignment horizontal="left" indent="1"/>
    </xf>
    <xf numFmtId="0" fontId="25" fillId="0" borderId="6" xfId="10" applyFont="1" applyFill="1" applyBorder="1" applyAlignment="1">
      <alignment horizontal="center"/>
    </xf>
    <xf numFmtId="0" fontId="27" fillId="0" borderId="63" xfId="10" applyFont="1" applyFill="1" applyBorder="1" applyAlignment="1">
      <alignment horizontal="left" wrapText="1"/>
    </xf>
    <xf numFmtId="0" fontId="27" fillId="0" borderId="23" xfId="10" applyFont="1" applyFill="1" applyBorder="1" applyAlignment="1">
      <alignment horizontal="left" wrapText="1"/>
    </xf>
    <xf numFmtId="0" fontId="27" fillId="0" borderId="0" xfId="10" applyFont="1" applyFill="1" applyAlignment="1">
      <alignment horizontal="center"/>
    </xf>
    <xf numFmtId="0" fontId="27" fillId="0" borderId="40" xfId="10" applyFont="1" applyFill="1" applyBorder="1" applyAlignment="1">
      <alignment horizontal="center"/>
    </xf>
    <xf numFmtId="0" fontId="27" fillId="0" borderId="39" xfId="10" applyFont="1" applyFill="1" applyBorder="1"/>
    <xf numFmtId="0" fontId="27" fillId="0" borderId="0" xfId="10" applyFont="1" applyFill="1"/>
    <xf numFmtId="0" fontId="26" fillId="0" borderId="0" xfId="10" applyFont="1" applyFill="1"/>
    <xf numFmtId="0" fontId="26" fillId="0" borderId="40" xfId="10" applyFont="1" applyFill="1" applyBorder="1"/>
    <xf numFmtId="0" fontId="26" fillId="0" borderId="39" xfId="10" applyFont="1" applyFill="1" applyBorder="1"/>
    <xf numFmtId="1" fontId="27" fillId="0" borderId="39" xfId="10" applyNumberFormat="1" applyFont="1" applyFill="1" applyBorder="1"/>
    <xf numFmtId="0" fontId="25" fillId="0" borderId="0" xfId="0" applyFont="1" applyFill="1"/>
    <xf numFmtId="0" fontId="25" fillId="0" borderId="40" xfId="0" applyFont="1" applyFill="1" applyBorder="1"/>
    <xf numFmtId="0" fontId="27" fillId="0" borderId="40" xfId="10" applyFont="1" applyFill="1" applyBorder="1"/>
    <xf numFmtId="0" fontId="37" fillId="0" borderId="0" xfId="0" applyFont="1" applyFill="1"/>
    <xf numFmtId="0" fontId="37" fillId="0" borderId="40" xfId="0" applyFont="1" applyFill="1" applyBorder="1"/>
    <xf numFmtId="1" fontId="27" fillId="0" borderId="0" xfId="10" applyNumberFormat="1" applyFont="1" applyFill="1"/>
    <xf numFmtId="1" fontId="27" fillId="0" borderId="40" xfId="10" applyNumberFormat="1" applyFont="1" applyFill="1" applyBorder="1"/>
    <xf numFmtId="1" fontId="26" fillId="0" borderId="39" xfId="10" applyNumberFormat="1" applyFont="1" applyFill="1" applyBorder="1"/>
    <xf numFmtId="1" fontId="27" fillId="0" borderId="39" xfId="13" applyNumberFormat="1" applyFont="1" applyFill="1" applyBorder="1"/>
    <xf numFmtId="0" fontId="28" fillId="0" borderId="0" xfId="13" applyFont="1" applyFill="1"/>
    <xf numFmtId="1" fontId="27" fillId="0" borderId="47" xfId="13" applyNumberFormat="1" applyFont="1" applyFill="1" applyBorder="1"/>
    <xf numFmtId="1" fontId="27" fillId="0" borderId="48" xfId="13" applyNumberFormat="1" applyFont="1" applyFill="1" applyBorder="1"/>
    <xf numFmtId="1" fontId="27" fillId="0" borderId="48" xfId="10" applyNumberFormat="1" applyFont="1" applyFill="1" applyBorder="1"/>
    <xf numFmtId="0" fontId="24" fillId="0" borderId="0" xfId="10" applyFont="1" applyFill="1" applyAlignment="1">
      <alignment horizontal="center"/>
    </xf>
  </cellXfs>
  <cellStyles count="41">
    <cellStyle name="asscent4" xfId="4"/>
    <cellStyle name="Comma" xfId="1" builtinId="3"/>
    <cellStyle name="Comma 10" xfId="3"/>
    <cellStyle name="Comma 10 10" xfId="24"/>
    <cellStyle name="Comma 10 2" xfId="39"/>
    <cellStyle name="Comma 10 7" xfId="11"/>
    <cellStyle name="Comma 11" xfId="6"/>
    <cellStyle name="Comma 13" xfId="8"/>
    <cellStyle name="Comma 13 2" xfId="14"/>
    <cellStyle name="Comma 14" xfId="9"/>
    <cellStyle name="Comma 2" xfId="2"/>
    <cellStyle name="Comma 2 10" xfId="12"/>
    <cellStyle name="Comma 2 2" xfId="18"/>
    <cellStyle name="Comma 2 55" xfId="23"/>
    <cellStyle name="Comma 2 55 2" xfId="26"/>
    <cellStyle name="Comma 2 56" xfId="16"/>
    <cellStyle name="Comma 24 2" xfId="30"/>
    <cellStyle name="Comma 3 2 4" xfId="36"/>
    <cellStyle name="Comma 8 2" xfId="35"/>
    <cellStyle name="Comma 9 3" xfId="15"/>
    <cellStyle name="Normal" xfId="0" builtinId="0"/>
    <cellStyle name="Normal 10 2 2 2" xfId="27"/>
    <cellStyle name="Normal 104 3 2 2 2" xfId="34"/>
    <cellStyle name="Normal 114 2" xfId="28"/>
    <cellStyle name="Normal 116 2" xfId="17"/>
    <cellStyle name="Normal 117 2" xfId="19"/>
    <cellStyle name="Normal 12 5" xfId="20"/>
    <cellStyle name="Normal 13 3" xfId="13"/>
    <cellStyle name="Normal 130" xfId="22"/>
    <cellStyle name="Normal 130 2" xfId="25"/>
    <cellStyle name="Normal 131" xfId="10"/>
    <cellStyle name="Normal 2 2" xfId="7"/>
    <cellStyle name="Normal 2 2 2" xfId="33"/>
    <cellStyle name="Normal 2 52" xfId="29"/>
    <cellStyle name="Normal 3" xfId="5"/>
    <cellStyle name="Normal 3 4" xfId="21"/>
    <cellStyle name="Normal_BAL2000" xfId="31"/>
    <cellStyle name="Normal_Financials September 2007 2" xfId="38"/>
    <cellStyle name="Normal_st. total income 06-07" xfId="40"/>
    <cellStyle name="Percent" xfId="32" builtinId="5"/>
    <cellStyle name="Style 1" xfId="3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34\d\Arunjyoti%20Bio\Annual%20Accounts%202020\IND%20AS%20Balance%20sheet%20B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d\Sangam%20Healthcare\Dep%20201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0.34\d\Arunjyoti%20Bio\Annual%20Accounts%202021\Ind%20AS%20Balance%20sheet%20FY%20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 As BS "/>
      <sheetName val="Ind AS P&amp;L "/>
      <sheetName val="Ind As Cash flow"/>
      <sheetName val="Ind SOCIE "/>
      <sheetName val="Note 2."/>
      <sheetName val="note 2"/>
      <sheetName val="Note 3 to 14 Ind As"/>
      <sheetName val="Note 9 Ind As"/>
      <sheetName val="Note 15-18 Ind As"/>
      <sheetName val="tb"/>
      <sheetName val="computation"/>
      <sheetName val="Note 19"/>
      <sheetName val="Bank Statements"/>
      <sheetName val="Comp 19-20"/>
    </sheetNames>
    <sheetDataSet>
      <sheetData sheetId="0">
        <row r="58">
          <cell r="B58" t="str">
            <v>For M M REDDY &amp; CO.,</v>
          </cell>
        </row>
        <row r="64">
          <cell r="B64" t="str">
            <v>M Madhusudhana Reddy</v>
          </cell>
        </row>
        <row r="65">
          <cell r="B65" t="str">
            <v xml:space="preserve">Partner                                                            </v>
          </cell>
        </row>
        <row r="66">
          <cell r="B66" t="str">
            <v>Membership No. 213077</v>
          </cell>
        </row>
        <row r="69">
          <cell r="B69" t="str">
            <v>Date  :  30-06-2020</v>
          </cell>
        </row>
      </sheetData>
      <sheetData sheetId="1">
        <row r="35">
          <cell r="G35">
            <v>-1437682</v>
          </cell>
        </row>
      </sheetData>
      <sheetData sheetId="2"/>
      <sheetData sheetId="3"/>
      <sheetData sheetId="4"/>
      <sheetData sheetId="5"/>
      <sheetData sheetId="6">
        <row r="81">
          <cell r="H81">
            <v>1750000</v>
          </cell>
        </row>
        <row r="89">
          <cell r="H89">
            <v>-818519423</v>
          </cell>
        </row>
        <row r="90">
          <cell r="F90">
            <v>-1084716</v>
          </cell>
          <cell r="G90">
            <v>-1437682</v>
          </cell>
          <cell r="H90">
            <v>-3128199</v>
          </cell>
        </row>
        <row r="91">
          <cell r="H91">
            <v>-821647622</v>
          </cell>
        </row>
        <row r="94">
          <cell r="F94">
            <v>0</v>
          </cell>
          <cell r="G94">
            <v>0</v>
          </cell>
          <cell r="H94">
            <v>0</v>
          </cell>
        </row>
      </sheetData>
      <sheetData sheetId="7">
        <row r="21">
          <cell r="L21">
            <v>383300000</v>
          </cell>
          <cell r="N21">
            <v>383300000</v>
          </cell>
        </row>
        <row r="29">
          <cell r="H29">
            <v>0</v>
          </cell>
          <cell r="J29">
            <v>0</v>
          </cell>
        </row>
        <row r="30">
          <cell r="L30">
            <v>0</v>
          </cell>
        </row>
      </sheetData>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1) SALES SUMMARY"/>
      <sheetName val="Dates"/>
      <sheetName val="Sheet1"/>
      <sheetName val="2) Detailed Focus TB"/>
      <sheetName val="3)Condensed Focus TB"/>
      <sheetName val="4) Final TB"/>
      <sheetName val="Sheet2"/>
      <sheetName val="BS"/>
      <sheetName val="6) BS"/>
      <sheetName val="Sheet5"/>
      <sheetName val="projections"/>
      <sheetName val="Sheet4"/>
      <sheetName val="P&amp;L"/>
      <sheetName val="7) P&amp;L"/>
      <sheetName val="Cash Flow"/>
      <sheetName val="NOTES"/>
      <sheetName val="FA 2019-2020 Final"/>
      <sheetName val="Dep 19-20 Final"/>
      <sheetName val="Dep Workings"/>
      <sheetName val="8) BS Schedules-1"/>
      <sheetName val="9) BS Schedules-2"/>
      <sheetName val="10) P&amp;L Schedules"/>
      <sheetName val="5) Provis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1">
          <cell r="Q21">
            <v>3840</v>
          </cell>
        </row>
        <row r="542">
          <cell r="Q542">
            <v>12307818.197704948</v>
          </cell>
        </row>
        <row r="589">
          <cell r="Q589">
            <v>35857.009874706338</v>
          </cell>
        </row>
        <row r="648">
          <cell r="Q648">
            <v>0</v>
          </cell>
        </row>
        <row r="658">
          <cell r="C658">
            <v>3161210</v>
          </cell>
        </row>
        <row r="659">
          <cell r="C659">
            <v>2130796</v>
          </cell>
        </row>
        <row r="661">
          <cell r="Q661">
            <v>207107.16657534247</v>
          </cell>
        </row>
      </sheetData>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PL CFL"/>
      <sheetName val="Computation-IT"/>
      <sheetName val="Equity"/>
      <sheetName val="P&amp;L"/>
      <sheetName val="Cash- Folw"/>
      <sheetName val="Sch"/>
      <sheetName val="sch 1-PPE"/>
      <sheetName val="sch 11-11.2"/>
      <sheetName val="Sheet3"/>
      <sheetName val="TB-30.03.2021"/>
      <sheetName val="Notes to Cash Flow"/>
      <sheetName val="Sch1-2"/>
      <sheetName val="sch-4-13"/>
      <sheetName val="DTLDFA"/>
      <sheetName val="iash-3"/>
      <sheetName val="IT Dep"/>
      <sheetName val="workings"/>
      <sheetName val="Computation"/>
      <sheetName val="TB 2021"/>
      <sheetName val="Ratios"/>
      <sheetName val="Ratio"/>
      <sheetName val="sch 19-26"/>
      <sheetName val="COE"/>
      <sheetName val="cash flow"/>
      <sheetName val="COMP"/>
      <sheetName val="MAT"/>
      <sheetName val="Tax Dep"/>
      <sheetName val="Final tb"/>
      <sheetName val="Def Tax"/>
      <sheetName val="sundrydebtors"/>
      <sheetName val="SUNDRY CREDI"/>
      <sheetName val="TB-Export"/>
      <sheetName val="Closing Stock"/>
      <sheetName val="Schedules for debtors"/>
      <sheetName val="Sheet2"/>
      <sheetName val="Schedule for creditors"/>
      <sheetName val="Sheet1"/>
    </sheetNames>
    <sheetDataSet>
      <sheetData sheetId="0">
        <row r="26">
          <cell r="E26">
            <v>259478.3</v>
          </cell>
          <cell r="F26">
            <v>296484</v>
          </cell>
        </row>
        <row r="29">
          <cell r="F29">
            <v>26725480.699999999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56"/>
  <sheetViews>
    <sheetView topLeftCell="A1187" workbookViewId="0">
      <selection activeCell="R27" sqref="R27"/>
    </sheetView>
  </sheetViews>
  <sheetFormatPr defaultRowHeight="14.4" x14ac:dyDescent="0.3"/>
  <cols>
    <col min="1" max="1" width="71.21875" customWidth="1"/>
    <col min="2" max="2" width="15" customWidth="1"/>
    <col min="3" max="4" width="13" customWidth="1"/>
    <col min="5" max="5" width="16.44140625" customWidth="1"/>
    <col min="6" max="7" width="8.77734375" customWidth="1"/>
    <col min="8" max="8" width="44.88671875" customWidth="1"/>
    <col min="9" max="9" width="13.21875" customWidth="1"/>
    <col min="10" max="11" width="10.88671875" customWidth="1"/>
    <col min="12" max="12" width="14.21875" customWidth="1"/>
    <col min="13" max="13" width="8.77734375" customWidth="1"/>
    <col min="14" max="14" width="11.33203125" customWidth="1"/>
    <col min="15" max="15" width="12" bestFit="1" customWidth="1"/>
    <col min="16" max="17" width="12.33203125" bestFit="1" customWidth="1"/>
    <col min="18" max="18" width="13.109375" bestFit="1" customWidth="1"/>
    <col min="19" max="19" width="11.33203125" bestFit="1" customWidth="1"/>
    <col min="20" max="20" width="10" bestFit="1" customWidth="1"/>
  </cols>
  <sheetData>
    <row r="1" spans="1:18" ht="15.6" x14ac:dyDescent="0.3">
      <c r="A1" s="1916" t="s">
        <v>2146</v>
      </c>
      <c r="B1" s="1916"/>
      <c r="C1" s="1916"/>
      <c r="D1" s="1478"/>
      <c r="E1" s="1478"/>
    </row>
    <row r="2" spans="1:18" x14ac:dyDescent="0.3">
      <c r="A2" s="1910" t="s">
        <v>3725</v>
      </c>
      <c r="B2" s="1910"/>
      <c r="C2" s="1910"/>
      <c r="D2" s="1478"/>
      <c r="E2" s="1478"/>
    </row>
    <row r="3" spans="1:18" x14ac:dyDescent="0.3">
      <c r="A3" s="1917" t="s">
        <v>3726</v>
      </c>
      <c r="B3" s="1910"/>
      <c r="C3" s="1910"/>
      <c r="D3" s="1478"/>
      <c r="E3" s="1478"/>
    </row>
    <row r="4" spans="1:18" x14ac:dyDescent="0.3">
      <c r="A4" s="1910" t="s">
        <v>3727</v>
      </c>
      <c r="B4" s="1910"/>
      <c r="C4" s="1910"/>
      <c r="D4" s="1478"/>
      <c r="E4" s="1478"/>
    </row>
    <row r="5" spans="1:18" x14ac:dyDescent="0.3">
      <c r="A5" s="1918" t="s">
        <v>3728</v>
      </c>
      <c r="B5" s="1918"/>
      <c r="C5" s="1918"/>
      <c r="D5" s="1478"/>
      <c r="E5" s="1478"/>
    </row>
    <row r="6" spans="1:18" ht="15.6" x14ac:dyDescent="0.3">
      <c r="A6" s="1915" t="s">
        <v>2243</v>
      </c>
      <c r="B6" s="1915"/>
      <c r="C6" s="1915"/>
      <c r="D6" s="1478"/>
      <c r="E6" s="1478"/>
    </row>
    <row r="7" spans="1:18" x14ac:dyDescent="0.3">
      <c r="A7" s="1910" t="s">
        <v>2443</v>
      </c>
      <c r="B7" s="1910"/>
      <c r="C7" s="1910"/>
      <c r="D7" s="1478"/>
      <c r="E7" s="1478"/>
    </row>
    <row r="8" spans="1:18" x14ac:dyDescent="0.3">
      <c r="A8" s="1477" t="s">
        <v>2238</v>
      </c>
      <c r="B8" s="1911" t="s">
        <v>3729</v>
      </c>
      <c r="C8" s="1912"/>
      <c r="D8" s="1912"/>
      <c r="E8" s="1912"/>
      <c r="H8" s="1477" t="s">
        <v>2238</v>
      </c>
      <c r="I8" s="1911" t="s">
        <v>3729</v>
      </c>
      <c r="J8" s="1912"/>
      <c r="K8" s="1912"/>
      <c r="L8" s="1912"/>
      <c r="O8" s="1911" t="s">
        <v>3729</v>
      </c>
      <c r="P8" s="1912"/>
      <c r="Q8" s="1912"/>
      <c r="R8" s="1912"/>
    </row>
    <row r="9" spans="1:18" x14ac:dyDescent="0.3">
      <c r="A9" s="1817" t="s">
        <v>215</v>
      </c>
      <c r="B9" s="1913" t="s">
        <v>2443</v>
      </c>
      <c r="C9" s="1914"/>
      <c r="D9" s="1914"/>
      <c r="E9" s="1914"/>
      <c r="H9" s="1817" t="s">
        <v>215</v>
      </c>
      <c r="I9" s="1913" t="s">
        <v>2443</v>
      </c>
      <c r="J9" s="1914"/>
      <c r="K9" s="1914"/>
      <c r="L9" s="1914"/>
      <c r="O9" s="1913" t="s">
        <v>2443</v>
      </c>
      <c r="P9" s="1914"/>
      <c r="Q9" s="1914"/>
      <c r="R9" s="1914"/>
    </row>
    <row r="10" spans="1:18" x14ac:dyDescent="0.3">
      <c r="A10" s="1817" t="s">
        <v>2238</v>
      </c>
      <c r="B10" s="1476" t="s">
        <v>2241</v>
      </c>
      <c r="C10" s="1908" t="s">
        <v>2240</v>
      </c>
      <c r="D10" s="1909"/>
      <c r="E10" s="1476" t="s">
        <v>2239</v>
      </c>
      <c r="H10" s="1817" t="s">
        <v>2238</v>
      </c>
      <c r="I10" s="1476" t="s">
        <v>2241</v>
      </c>
      <c r="J10" s="1908" t="s">
        <v>2240</v>
      </c>
      <c r="K10" s="1909"/>
      <c r="L10" s="1476" t="s">
        <v>2239</v>
      </c>
      <c r="O10" s="1476" t="s">
        <v>2241</v>
      </c>
      <c r="P10" s="1908" t="s">
        <v>2240</v>
      </c>
      <c r="Q10" s="1909"/>
      <c r="R10" s="1476" t="s">
        <v>2239</v>
      </c>
    </row>
    <row r="11" spans="1:18" x14ac:dyDescent="0.3">
      <c r="A11" s="1818" t="s">
        <v>2238</v>
      </c>
      <c r="B11" s="1474" t="s">
        <v>2235</v>
      </c>
      <c r="C11" s="1475" t="s">
        <v>2237</v>
      </c>
      <c r="D11" s="1475" t="s">
        <v>2236</v>
      </c>
      <c r="E11" s="1474" t="s">
        <v>2235</v>
      </c>
      <c r="H11" s="1818" t="s">
        <v>2238</v>
      </c>
      <c r="I11" s="1474" t="s">
        <v>2235</v>
      </c>
      <c r="J11" s="1475" t="s">
        <v>2237</v>
      </c>
      <c r="K11" s="1475" t="s">
        <v>2236</v>
      </c>
      <c r="L11" s="1474" t="s">
        <v>2235</v>
      </c>
      <c r="O11" s="1474" t="s">
        <v>2235</v>
      </c>
      <c r="P11" s="1475" t="s">
        <v>2237</v>
      </c>
      <c r="Q11" s="1475" t="s">
        <v>2236</v>
      </c>
      <c r="R11" s="1474" t="s">
        <v>2235</v>
      </c>
    </row>
    <row r="12" spans="1:18" x14ac:dyDescent="0.3">
      <c r="A12" s="1467" t="s">
        <v>2234</v>
      </c>
      <c r="B12" s="1472">
        <v>-23042750</v>
      </c>
      <c r="C12" s="1877">
        <v>3056226</v>
      </c>
      <c r="D12" s="1877">
        <v>26566</v>
      </c>
      <c r="E12" s="1472">
        <v>-20013090</v>
      </c>
      <c r="O12" s="1541">
        <f>B12+I12</f>
        <v>-23042750</v>
      </c>
      <c r="P12" s="1541">
        <f t="shared" ref="P12:R27" si="0">C12+J12</f>
        <v>3056226</v>
      </c>
      <c r="Q12" s="1541">
        <f t="shared" si="0"/>
        <v>26566</v>
      </c>
      <c r="R12" s="1541">
        <f t="shared" si="0"/>
        <v>-20013090</v>
      </c>
    </row>
    <row r="13" spans="1:18" x14ac:dyDescent="0.3">
      <c r="A13" s="1463" t="s">
        <v>2233</v>
      </c>
      <c r="B13" s="1875">
        <v>-2333750</v>
      </c>
      <c r="C13" s="1874">
        <v>3056226</v>
      </c>
      <c r="D13" s="1874">
        <v>26566</v>
      </c>
      <c r="E13" s="1898">
        <v>695910</v>
      </c>
      <c r="O13" s="1541">
        <f t="shared" ref="O13:R50" si="1">B13+I13</f>
        <v>-2333750</v>
      </c>
      <c r="P13" s="1541">
        <f t="shared" si="0"/>
        <v>3056226</v>
      </c>
      <c r="Q13" s="1541">
        <f t="shared" si="0"/>
        <v>26566</v>
      </c>
      <c r="R13" s="1541">
        <f t="shared" si="0"/>
        <v>695910</v>
      </c>
    </row>
    <row r="14" spans="1:18" x14ac:dyDescent="0.3">
      <c r="A14" s="1852" t="s">
        <v>2112</v>
      </c>
      <c r="B14" s="1471">
        <v>-2333750</v>
      </c>
      <c r="C14" s="1460"/>
      <c r="D14" s="1460"/>
      <c r="E14" s="1471">
        <v>-2333750</v>
      </c>
      <c r="O14" s="1541">
        <f t="shared" si="1"/>
        <v>-2333750</v>
      </c>
      <c r="P14" s="1541">
        <f t="shared" si="0"/>
        <v>0</v>
      </c>
      <c r="Q14" s="1541">
        <f t="shared" si="0"/>
        <v>0</v>
      </c>
      <c r="R14" s="1541">
        <f t="shared" si="0"/>
        <v>-2333750</v>
      </c>
    </row>
    <row r="15" spans="1:18" x14ac:dyDescent="0.3">
      <c r="A15" s="1855" t="s">
        <v>3730</v>
      </c>
      <c r="B15" s="1462"/>
      <c r="C15" s="1456">
        <v>3056226</v>
      </c>
      <c r="D15" s="1456">
        <v>26566</v>
      </c>
      <c r="E15" s="1896">
        <v>3029660</v>
      </c>
      <c r="O15" s="1541">
        <f t="shared" si="1"/>
        <v>0</v>
      </c>
      <c r="P15" s="1541">
        <f t="shared" si="0"/>
        <v>3056226</v>
      </c>
      <c r="Q15" s="1541">
        <f t="shared" si="0"/>
        <v>26566</v>
      </c>
      <c r="R15" s="1541">
        <f t="shared" si="0"/>
        <v>3029660</v>
      </c>
    </row>
    <row r="16" spans="1:18" x14ac:dyDescent="0.3">
      <c r="A16" s="1461" t="s">
        <v>2232</v>
      </c>
      <c r="B16" s="1468">
        <v>-20709000</v>
      </c>
      <c r="C16" s="1462"/>
      <c r="D16" s="1462"/>
      <c r="E16" s="1468">
        <v>-20709000</v>
      </c>
      <c r="O16" s="1541">
        <f t="shared" si="1"/>
        <v>-20709000</v>
      </c>
      <c r="P16" s="1541">
        <f t="shared" si="0"/>
        <v>0</v>
      </c>
      <c r="Q16" s="1541">
        <f t="shared" si="0"/>
        <v>0</v>
      </c>
      <c r="R16" s="1899">
        <f t="shared" si="0"/>
        <v>-20709000</v>
      </c>
    </row>
    <row r="17" spans="1:18" x14ac:dyDescent="0.3">
      <c r="A17" s="1467" t="s">
        <v>2444</v>
      </c>
      <c r="B17" s="1466"/>
      <c r="C17" s="1465">
        <v>8770000</v>
      </c>
      <c r="D17" s="1465">
        <v>331487790.16000003</v>
      </c>
      <c r="E17" s="1469">
        <v>-322717790.16000003</v>
      </c>
      <c r="O17" s="1541">
        <f t="shared" si="1"/>
        <v>0</v>
      </c>
      <c r="P17" s="1541">
        <f t="shared" si="0"/>
        <v>8770000</v>
      </c>
      <c r="Q17" s="1541">
        <f t="shared" si="0"/>
        <v>331487790.16000003</v>
      </c>
      <c r="R17" s="1541">
        <f t="shared" si="0"/>
        <v>-322717790.16000003</v>
      </c>
    </row>
    <row r="18" spans="1:18" x14ac:dyDescent="0.3">
      <c r="A18" s="1463" t="s">
        <v>2445</v>
      </c>
      <c r="B18" s="1873"/>
      <c r="C18" s="1873"/>
      <c r="D18" s="1874">
        <v>198000505</v>
      </c>
      <c r="E18" s="1875">
        <v>-198000505</v>
      </c>
      <c r="O18" s="1541">
        <f t="shared" si="1"/>
        <v>0</v>
      </c>
      <c r="P18" s="1541">
        <f t="shared" si="0"/>
        <v>0</v>
      </c>
      <c r="Q18" s="1541">
        <f t="shared" si="0"/>
        <v>198000505</v>
      </c>
      <c r="R18" s="1899">
        <f t="shared" si="0"/>
        <v>-198000505</v>
      </c>
    </row>
    <row r="19" spans="1:18" x14ac:dyDescent="0.3">
      <c r="A19" s="1852" t="s">
        <v>2446</v>
      </c>
      <c r="B19" s="1462"/>
      <c r="C19" s="1460"/>
      <c r="D19" s="1456">
        <v>198000505</v>
      </c>
      <c r="E19" s="1471">
        <v>-198000505</v>
      </c>
      <c r="O19" s="1541">
        <f t="shared" si="1"/>
        <v>0</v>
      </c>
      <c r="P19" s="1541">
        <f t="shared" si="0"/>
        <v>0</v>
      </c>
      <c r="Q19" s="1541">
        <f t="shared" si="0"/>
        <v>198000505</v>
      </c>
      <c r="R19" s="1541">
        <f t="shared" si="0"/>
        <v>-198000505</v>
      </c>
    </row>
    <row r="20" spans="1:18" x14ac:dyDescent="0.3">
      <c r="A20" s="1463" t="s">
        <v>217</v>
      </c>
      <c r="B20" s="1854"/>
      <c r="C20" s="1849">
        <v>8770000</v>
      </c>
      <c r="D20" s="1849">
        <v>133487285.16</v>
      </c>
      <c r="E20" s="1848">
        <v>-124717285.16</v>
      </c>
      <c r="O20" s="1541">
        <f t="shared" si="1"/>
        <v>0</v>
      </c>
      <c r="P20" s="1541">
        <f t="shared" si="0"/>
        <v>8770000</v>
      </c>
      <c r="Q20" s="1541">
        <f t="shared" si="0"/>
        <v>133487285.16</v>
      </c>
      <c r="R20" s="1899">
        <f t="shared" si="0"/>
        <v>-124717285.16</v>
      </c>
    </row>
    <row r="21" spans="1:18" x14ac:dyDescent="0.3">
      <c r="A21" s="1852" t="s">
        <v>2447</v>
      </c>
      <c r="B21" s="1462"/>
      <c r="C21" s="1460"/>
      <c r="D21" s="1456">
        <v>53600000</v>
      </c>
      <c r="E21" s="1471">
        <v>-53600000</v>
      </c>
      <c r="O21" s="1541">
        <f t="shared" si="1"/>
        <v>0</v>
      </c>
      <c r="P21" s="1541">
        <f t="shared" si="0"/>
        <v>0</v>
      </c>
      <c r="Q21" s="1541">
        <f t="shared" si="0"/>
        <v>53600000</v>
      </c>
      <c r="R21" s="1541">
        <f t="shared" si="0"/>
        <v>-53600000</v>
      </c>
    </row>
    <row r="22" spans="1:18" x14ac:dyDescent="0.3">
      <c r="A22" s="1855" t="s">
        <v>2448</v>
      </c>
      <c r="B22" s="1462"/>
      <c r="C22" s="1456">
        <v>4050000</v>
      </c>
      <c r="D22" s="1456">
        <v>17350000</v>
      </c>
      <c r="E22" s="1471">
        <v>-13300000</v>
      </c>
      <c r="O22" s="1541">
        <f t="shared" si="1"/>
        <v>0</v>
      </c>
      <c r="P22" s="1541">
        <f t="shared" si="0"/>
        <v>4050000</v>
      </c>
      <c r="Q22" s="1541">
        <f t="shared" si="0"/>
        <v>17350000</v>
      </c>
      <c r="R22" s="1541">
        <f t="shared" si="0"/>
        <v>-13300000</v>
      </c>
    </row>
    <row r="23" spans="1:18" x14ac:dyDescent="0.3">
      <c r="A23" s="1852" t="s">
        <v>2449</v>
      </c>
      <c r="B23" s="1462"/>
      <c r="C23" s="1460"/>
      <c r="D23" s="1456">
        <v>1000000</v>
      </c>
      <c r="E23" s="1471">
        <v>-1000000</v>
      </c>
      <c r="O23" s="1541">
        <f t="shared" si="1"/>
        <v>0</v>
      </c>
      <c r="P23" s="1541">
        <f t="shared" si="0"/>
        <v>0</v>
      </c>
      <c r="Q23" s="1541">
        <f t="shared" si="0"/>
        <v>1000000</v>
      </c>
      <c r="R23" s="1541">
        <f t="shared" si="0"/>
        <v>-1000000</v>
      </c>
    </row>
    <row r="24" spans="1:18" x14ac:dyDescent="0.3">
      <c r="A24" s="1855" t="s">
        <v>2450</v>
      </c>
      <c r="B24" s="1462"/>
      <c r="C24" s="1460"/>
      <c r="D24" s="1456">
        <v>2300000</v>
      </c>
      <c r="E24" s="1471">
        <v>-2300000</v>
      </c>
      <c r="O24" s="1541">
        <f t="shared" si="1"/>
        <v>0</v>
      </c>
      <c r="P24" s="1541">
        <f t="shared" si="0"/>
        <v>0</v>
      </c>
      <c r="Q24" s="1541">
        <f t="shared" si="0"/>
        <v>2300000</v>
      </c>
      <c r="R24" s="1541">
        <f t="shared" si="0"/>
        <v>-2300000</v>
      </c>
    </row>
    <row r="25" spans="1:18" x14ac:dyDescent="0.3">
      <c r="A25" s="1852" t="s">
        <v>2451</v>
      </c>
      <c r="B25" s="1462"/>
      <c r="C25" s="1456">
        <f>25700002+1121000</f>
        <v>26821002</v>
      </c>
      <c r="D25" s="1456">
        <v>7666000</v>
      </c>
      <c r="E25" s="1471">
        <f>-5096000+1121000</f>
        <v>-3975000</v>
      </c>
      <c r="O25" s="1541">
        <f t="shared" si="1"/>
        <v>0</v>
      </c>
      <c r="P25" s="1541">
        <f t="shared" si="0"/>
        <v>26821002</v>
      </c>
      <c r="Q25" s="1541">
        <f t="shared" si="0"/>
        <v>7666000</v>
      </c>
      <c r="R25" s="1541">
        <f t="shared" si="0"/>
        <v>-3975000</v>
      </c>
    </row>
    <row r="26" spans="1:18" x14ac:dyDescent="0.3">
      <c r="A26" s="1852" t="s">
        <v>2440</v>
      </c>
      <c r="B26" s="1462"/>
      <c r="C26" s="1456">
        <v>2150000</v>
      </c>
      <c r="D26" s="1456">
        <v>30504052</v>
      </c>
      <c r="E26" s="1471">
        <v>28354052</v>
      </c>
      <c r="O26" s="1541">
        <f t="shared" si="1"/>
        <v>0</v>
      </c>
      <c r="P26" s="1541">
        <f t="shared" si="0"/>
        <v>2150000</v>
      </c>
      <c r="Q26" s="1541">
        <f t="shared" si="0"/>
        <v>30504052</v>
      </c>
      <c r="R26" s="1541">
        <f t="shared" si="0"/>
        <v>28354052</v>
      </c>
    </row>
    <row r="27" spans="1:18" x14ac:dyDescent="0.3">
      <c r="A27" s="1852" t="s">
        <v>2452</v>
      </c>
      <c r="B27" s="1462"/>
      <c r="C27" s="1460"/>
      <c r="D27" s="1456">
        <v>1140033.1599999999</v>
      </c>
      <c r="E27" s="1471">
        <v>-1140033.1599999999</v>
      </c>
      <c r="O27" s="1541">
        <f t="shared" si="1"/>
        <v>0</v>
      </c>
      <c r="P27" s="1541">
        <f t="shared" si="0"/>
        <v>0</v>
      </c>
      <c r="Q27" s="1541">
        <f t="shared" si="0"/>
        <v>1140033.1599999999</v>
      </c>
      <c r="R27" s="1541">
        <f t="shared" si="0"/>
        <v>-1140033.1599999999</v>
      </c>
    </row>
    <row r="28" spans="1:18" x14ac:dyDescent="0.3">
      <c r="A28" s="1852" t="s">
        <v>2453</v>
      </c>
      <c r="B28" s="1462"/>
      <c r="C28" s="1460"/>
      <c r="D28" s="1456">
        <v>19927200</v>
      </c>
      <c r="E28" s="1471">
        <v>-19927200</v>
      </c>
      <c r="O28" s="1541">
        <f t="shared" si="1"/>
        <v>0</v>
      </c>
      <c r="P28" s="1541">
        <f t="shared" si="1"/>
        <v>0</v>
      </c>
      <c r="Q28" s="1541">
        <f t="shared" si="1"/>
        <v>19927200</v>
      </c>
      <c r="R28" s="1541">
        <f t="shared" si="1"/>
        <v>-19927200</v>
      </c>
    </row>
    <row r="29" spans="1:18" x14ac:dyDescent="0.3">
      <c r="A29" s="1467" t="s">
        <v>2231</v>
      </c>
      <c r="B29" s="1900">
        <v>9130548.9199999999</v>
      </c>
      <c r="C29" s="1465">
        <v>358670503.81</v>
      </c>
      <c r="D29" s="1465">
        <v>214213905.80000001</v>
      </c>
      <c r="E29" s="1900">
        <v>153587146.93000001</v>
      </c>
      <c r="H29" s="1467" t="s">
        <v>2231</v>
      </c>
      <c r="I29" s="1901">
        <v>3133238</v>
      </c>
      <c r="J29" s="1877">
        <v>4257235</v>
      </c>
      <c r="K29" s="1877">
        <v>28412857</v>
      </c>
      <c r="L29" s="1472">
        <v>-21022384</v>
      </c>
      <c r="O29" s="1541">
        <f t="shared" si="1"/>
        <v>12263786.92</v>
      </c>
      <c r="P29" s="1541">
        <f t="shared" si="1"/>
        <v>362927738.81</v>
      </c>
      <c r="Q29" s="1541">
        <f t="shared" si="1"/>
        <v>242626762.80000001</v>
      </c>
      <c r="R29" s="1541">
        <f t="shared" si="1"/>
        <v>132564762.93000001</v>
      </c>
    </row>
    <row r="30" spans="1:18" x14ac:dyDescent="0.3">
      <c r="A30" s="1467"/>
      <c r="B30" s="1900"/>
      <c r="C30" s="1465"/>
      <c r="D30" s="1465"/>
      <c r="E30" s="1900"/>
      <c r="H30" s="1467"/>
      <c r="I30" s="1901"/>
      <c r="J30" s="1877"/>
      <c r="K30" s="1877"/>
      <c r="L30" s="1472"/>
      <c r="O30" s="1541"/>
      <c r="P30" s="1541"/>
      <c r="Q30" s="1541"/>
      <c r="R30" s="1541"/>
    </row>
    <row r="31" spans="1:18" x14ac:dyDescent="0.3">
      <c r="A31" s="1463" t="s">
        <v>2230</v>
      </c>
      <c r="B31" s="1898">
        <v>4481657.5199999996</v>
      </c>
      <c r="C31" s="1874">
        <v>27016001.32</v>
      </c>
      <c r="D31" s="1874">
        <v>2954315.64</v>
      </c>
      <c r="E31" s="1898">
        <v>28543343.199999999</v>
      </c>
      <c r="H31" s="1463" t="s">
        <v>2230</v>
      </c>
      <c r="I31" s="1898">
        <v>16617.41</v>
      </c>
      <c r="J31" s="1874">
        <v>4257235</v>
      </c>
      <c r="K31" s="1873"/>
      <c r="L31" s="1898">
        <v>4273852.41</v>
      </c>
      <c r="N31" s="1541"/>
      <c r="O31" s="1541">
        <f t="shared" si="1"/>
        <v>4498274.93</v>
      </c>
      <c r="P31" s="1541">
        <f t="shared" si="1"/>
        <v>31273236.32</v>
      </c>
      <c r="Q31" s="1541">
        <f t="shared" si="1"/>
        <v>2954315.64</v>
      </c>
      <c r="R31" s="1899">
        <f t="shared" si="1"/>
        <v>32817195.609999999</v>
      </c>
    </row>
    <row r="32" spans="1:18" x14ac:dyDescent="0.3">
      <c r="A32" s="1463" t="s">
        <v>2454</v>
      </c>
      <c r="B32" s="1876">
        <v>-873799.02</v>
      </c>
      <c r="C32" s="1877">
        <v>26968921.82</v>
      </c>
      <c r="D32" s="1877">
        <v>5866.42</v>
      </c>
      <c r="E32" s="1902">
        <v>26089256.379999999</v>
      </c>
      <c r="H32" s="1463" t="s">
        <v>2454</v>
      </c>
      <c r="I32" s="1902">
        <v>16613.41</v>
      </c>
      <c r="J32" s="1877">
        <v>4257235</v>
      </c>
      <c r="K32" s="1473"/>
      <c r="L32" s="1902">
        <v>4273848.41</v>
      </c>
      <c r="N32" s="1541"/>
      <c r="O32" s="1541">
        <f t="shared" si="1"/>
        <v>-857185.61</v>
      </c>
      <c r="P32" s="1541">
        <f t="shared" si="1"/>
        <v>31226156.82</v>
      </c>
      <c r="Q32" s="1541">
        <f t="shared" si="1"/>
        <v>5866.42</v>
      </c>
      <c r="R32" s="1541">
        <f t="shared" si="1"/>
        <v>30363104.789999999</v>
      </c>
    </row>
    <row r="33" spans="1:20" x14ac:dyDescent="0.3">
      <c r="A33" s="1850" t="s">
        <v>3517</v>
      </c>
      <c r="B33" s="1898">
        <v>12374797.23</v>
      </c>
      <c r="C33" s="1874">
        <v>26124975.02</v>
      </c>
      <c r="D33" s="1874">
        <v>5866.42</v>
      </c>
      <c r="E33" s="1898">
        <v>38493905.829999998</v>
      </c>
      <c r="H33" s="1855"/>
      <c r="I33" s="1894"/>
      <c r="J33" s="1459"/>
      <c r="K33" s="1462"/>
      <c r="L33" s="1894"/>
      <c r="O33" s="1903">
        <f t="shared" si="1"/>
        <v>12374797.23</v>
      </c>
      <c r="P33" s="1903">
        <f t="shared" si="1"/>
        <v>26124975.02</v>
      </c>
      <c r="Q33" s="1903">
        <f t="shared" si="1"/>
        <v>5866.42</v>
      </c>
      <c r="R33" s="1903">
        <f t="shared" si="1"/>
        <v>38493905.829999998</v>
      </c>
    </row>
    <row r="34" spans="1:20" x14ac:dyDescent="0.3">
      <c r="A34" s="1879" t="s">
        <v>3529</v>
      </c>
      <c r="B34" s="1896">
        <v>1404</v>
      </c>
      <c r="C34" s="1456">
        <v>4545.12</v>
      </c>
      <c r="D34" s="1460"/>
      <c r="E34" s="1896">
        <v>5949.12</v>
      </c>
      <c r="H34" s="1855" t="s">
        <v>3530</v>
      </c>
      <c r="I34" s="1894">
        <v>11984.64</v>
      </c>
      <c r="J34" s="1459">
        <v>122397</v>
      </c>
      <c r="K34" s="1462"/>
      <c r="L34" s="1894">
        <v>134381.64000000001</v>
      </c>
      <c r="O34" s="1541">
        <f t="shared" si="1"/>
        <v>13388.64</v>
      </c>
      <c r="P34" s="1541">
        <f t="shared" si="1"/>
        <v>126942.12</v>
      </c>
      <c r="Q34" s="1541">
        <f t="shared" si="1"/>
        <v>0</v>
      </c>
      <c r="R34" s="1541">
        <f t="shared" si="1"/>
        <v>140330.76</v>
      </c>
    </row>
    <row r="35" spans="1:20" x14ac:dyDescent="0.3">
      <c r="A35" s="1878" t="s">
        <v>3530</v>
      </c>
      <c r="B35" s="1896">
        <v>3672</v>
      </c>
      <c r="C35" s="1456">
        <v>468211.22</v>
      </c>
      <c r="D35" s="1456">
        <v>142.71</v>
      </c>
      <c r="E35" s="1896">
        <v>471740.51</v>
      </c>
      <c r="H35" s="1855" t="s">
        <v>3532</v>
      </c>
      <c r="I35" s="1460"/>
      <c r="J35" s="1459">
        <v>3947911</v>
      </c>
      <c r="K35" s="1462"/>
      <c r="L35" s="1894">
        <v>3947911</v>
      </c>
      <c r="O35" s="1541">
        <f t="shared" si="1"/>
        <v>3672</v>
      </c>
      <c r="P35" s="1541">
        <f t="shared" si="1"/>
        <v>4416122.22</v>
      </c>
      <c r="Q35" s="1541">
        <f t="shared" si="1"/>
        <v>142.71</v>
      </c>
      <c r="R35" s="1541">
        <f t="shared" si="1"/>
        <v>4419651.51</v>
      </c>
    </row>
    <row r="36" spans="1:20" x14ac:dyDescent="0.3">
      <c r="A36" s="1878" t="s">
        <v>3531</v>
      </c>
      <c r="B36" s="1896">
        <v>6123767.1799999997</v>
      </c>
      <c r="C36" s="1456">
        <v>2669293.02</v>
      </c>
      <c r="D36" s="1456">
        <v>2790.5</v>
      </c>
      <c r="E36" s="1896">
        <v>8790269.6999999993</v>
      </c>
      <c r="H36" s="1855" t="s">
        <v>3534</v>
      </c>
      <c r="I36" s="1894">
        <v>11984.64</v>
      </c>
      <c r="J36" s="1459">
        <v>122397</v>
      </c>
      <c r="K36" s="1462"/>
      <c r="L36" s="1894">
        <v>134381.64000000001</v>
      </c>
      <c r="O36" s="1541">
        <f t="shared" si="1"/>
        <v>6135751.8199999994</v>
      </c>
      <c r="P36" s="1541">
        <f t="shared" si="1"/>
        <v>2791690.02</v>
      </c>
      <c r="Q36" s="1541">
        <f t="shared" si="1"/>
        <v>2790.5</v>
      </c>
      <c r="R36" s="1541">
        <f t="shared" si="1"/>
        <v>8924651.3399999999</v>
      </c>
    </row>
    <row r="37" spans="1:20" x14ac:dyDescent="0.3">
      <c r="A37" s="1878" t="s">
        <v>3532</v>
      </c>
      <c r="B37" s="1896">
        <v>116958.29</v>
      </c>
      <c r="C37" s="1456">
        <v>19328856.300000001</v>
      </c>
      <c r="D37" s="1460"/>
      <c r="E37" s="1896">
        <v>19445814.59</v>
      </c>
      <c r="H37" s="1878" t="s">
        <v>3522</v>
      </c>
      <c r="I37" s="1894">
        <v>193.94</v>
      </c>
      <c r="J37" s="1462"/>
      <c r="K37" s="1462"/>
      <c r="L37" s="1894">
        <v>193.94</v>
      </c>
      <c r="O37" s="1541">
        <f t="shared" si="1"/>
        <v>117152.23</v>
      </c>
      <c r="P37" s="1541">
        <f t="shared" si="1"/>
        <v>19328856.300000001</v>
      </c>
      <c r="Q37" s="1541">
        <f t="shared" si="1"/>
        <v>0</v>
      </c>
      <c r="R37" s="1541">
        <f t="shared" si="1"/>
        <v>19446008.530000001</v>
      </c>
    </row>
    <row r="38" spans="1:20" x14ac:dyDescent="0.3">
      <c r="A38" s="1879" t="s">
        <v>3731</v>
      </c>
      <c r="B38" s="1896">
        <v>152.58000000000001</v>
      </c>
      <c r="C38" s="1456">
        <v>218827.2</v>
      </c>
      <c r="D38" s="1460"/>
      <c r="E38" s="1896">
        <v>218979.78</v>
      </c>
      <c r="H38" s="1878" t="s">
        <v>3536</v>
      </c>
      <c r="I38" s="1468">
        <v>-12056.64</v>
      </c>
      <c r="J38" s="1462"/>
      <c r="K38" s="1462"/>
      <c r="L38" s="1468">
        <v>-12056.64</v>
      </c>
      <c r="O38" s="1541">
        <f t="shared" si="1"/>
        <v>-11904.06</v>
      </c>
      <c r="P38" s="1541">
        <f t="shared" si="1"/>
        <v>218827.2</v>
      </c>
      <c r="Q38" s="1541">
        <f t="shared" si="1"/>
        <v>0</v>
      </c>
      <c r="R38" s="1541">
        <f t="shared" si="1"/>
        <v>206923.14</v>
      </c>
    </row>
    <row r="39" spans="1:20" x14ac:dyDescent="0.3">
      <c r="A39" s="1879" t="s">
        <v>3533</v>
      </c>
      <c r="B39" s="1896">
        <v>1404</v>
      </c>
      <c r="C39" s="1456">
        <v>4545.12</v>
      </c>
      <c r="D39" s="1460"/>
      <c r="E39" s="1896">
        <v>5949.12</v>
      </c>
      <c r="H39" s="1878" t="s">
        <v>3523</v>
      </c>
      <c r="I39" s="1894">
        <v>8183.88</v>
      </c>
      <c r="J39" s="1462"/>
      <c r="K39" s="1462"/>
      <c r="L39" s="1894">
        <v>8183.88</v>
      </c>
      <c r="O39" s="1541">
        <f t="shared" si="1"/>
        <v>9587.880000000001</v>
      </c>
      <c r="P39" s="1541">
        <f t="shared" si="1"/>
        <v>4545.12</v>
      </c>
      <c r="Q39" s="1541">
        <f t="shared" si="1"/>
        <v>0</v>
      </c>
      <c r="R39" s="1541">
        <f t="shared" si="1"/>
        <v>14133</v>
      </c>
    </row>
    <row r="40" spans="1:20" x14ac:dyDescent="0.3">
      <c r="A40" s="1878" t="s">
        <v>3534</v>
      </c>
      <c r="B40" s="1896">
        <v>3672</v>
      </c>
      <c r="C40" s="1456">
        <v>470688.97</v>
      </c>
      <c r="D40" s="1456">
        <v>142.71</v>
      </c>
      <c r="E40" s="1896">
        <v>474218.26</v>
      </c>
      <c r="H40" s="1878" t="s">
        <v>3524</v>
      </c>
      <c r="I40" s="1894">
        <v>1.77</v>
      </c>
      <c r="J40" s="1462"/>
      <c r="K40" s="1462"/>
      <c r="L40" s="1894">
        <v>1.77</v>
      </c>
      <c r="O40" s="1541">
        <f t="shared" si="1"/>
        <v>3673.77</v>
      </c>
      <c r="P40" s="1541">
        <f t="shared" si="1"/>
        <v>470688.97</v>
      </c>
      <c r="Q40" s="1541">
        <f t="shared" si="1"/>
        <v>142.71</v>
      </c>
      <c r="R40" s="1541">
        <f t="shared" si="1"/>
        <v>474220.03</v>
      </c>
    </row>
    <row r="41" spans="1:20" x14ac:dyDescent="0.3">
      <c r="A41" s="1878" t="s">
        <v>3535</v>
      </c>
      <c r="B41" s="1896">
        <v>6123767.1799999997</v>
      </c>
      <c r="C41" s="1456">
        <v>2960008.07</v>
      </c>
      <c r="D41" s="1456">
        <v>2790.5</v>
      </c>
      <c r="E41" s="1896">
        <v>9080984.75</v>
      </c>
      <c r="H41" s="1878" t="s">
        <v>3525</v>
      </c>
      <c r="I41" s="1460"/>
      <c r="J41" s="1459">
        <v>64530</v>
      </c>
      <c r="K41" s="1462"/>
      <c r="L41" s="1894">
        <v>64530</v>
      </c>
      <c r="O41" s="1541">
        <f t="shared" si="1"/>
        <v>6123767.1799999997</v>
      </c>
      <c r="P41" s="1541">
        <f t="shared" si="1"/>
        <v>3024538.07</v>
      </c>
      <c r="Q41" s="1541">
        <f t="shared" si="1"/>
        <v>2790.5</v>
      </c>
      <c r="R41" s="1541">
        <f t="shared" si="1"/>
        <v>9145514.75</v>
      </c>
    </row>
    <row r="42" spans="1:20" x14ac:dyDescent="0.3">
      <c r="A42" s="1878" t="s">
        <v>3518</v>
      </c>
      <c r="B42" s="1460"/>
      <c r="C42" s="1459">
        <v>11127</v>
      </c>
      <c r="D42" s="1462"/>
      <c r="E42" s="1894">
        <v>11127</v>
      </c>
      <c r="H42" s="1878" t="s">
        <v>3527</v>
      </c>
      <c r="I42" s="1894">
        <v>193.94</v>
      </c>
      <c r="J42" s="1462"/>
      <c r="K42" s="1462"/>
      <c r="L42" s="1894">
        <v>193.94</v>
      </c>
      <c r="O42" s="1541">
        <f t="shared" si="1"/>
        <v>193.94</v>
      </c>
      <c r="P42" s="1541">
        <f t="shared" si="1"/>
        <v>11127</v>
      </c>
      <c r="Q42" s="1541">
        <f t="shared" si="1"/>
        <v>0</v>
      </c>
      <c r="R42" s="1541">
        <f t="shared" si="1"/>
        <v>11320.94</v>
      </c>
    </row>
    <row r="43" spans="1:20" x14ac:dyDescent="0.3">
      <c r="A43" s="1878" t="s">
        <v>3519</v>
      </c>
      <c r="B43" s="1460"/>
      <c r="C43" s="1459">
        <v>377829.64</v>
      </c>
      <c r="D43" s="1462"/>
      <c r="E43" s="1894">
        <v>377829.64</v>
      </c>
      <c r="H43" s="1878" t="s">
        <v>3537</v>
      </c>
      <c r="I43" s="1468">
        <v>-12056.64</v>
      </c>
      <c r="J43" s="1462"/>
      <c r="K43" s="1462"/>
      <c r="L43" s="1468">
        <v>-12056.64</v>
      </c>
      <c r="O43" s="1541">
        <f t="shared" si="1"/>
        <v>-12056.64</v>
      </c>
      <c r="P43" s="1541">
        <f t="shared" si="1"/>
        <v>377829.64</v>
      </c>
      <c r="Q43" s="1541">
        <f t="shared" si="1"/>
        <v>0</v>
      </c>
      <c r="R43" s="1541">
        <f t="shared" si="1"/>
        <v>365773</v>
      </c>
    </row>
    <row r="44" spans="1:20" x14ac:dyDescent="0.3">
      <c r="A44" s="1878" t="s">
        <v>3520</v>
      </c>
      <c r="B44" s="1460"/>
      <c r="C44" s="1459">
        <v>11228.92</v>
      </c>
      <c r="D44" s="1462"/>
      <c r="E44" s="1894">
        <v>11228.92</v>
      </c>
      <c r="H44" s="1878" t="s">
        <v>3528</v>
      </c>
      <c r="I44" s="1894">
        <v>8183.88</v>
      </c>
      <c r="J44" s="1462"/>
      <c r="K44" s="1462"/>
      <c r="L44" s="1894">
        <v>8183.88</v>
      </c>
      <c r="O44" s="1541">
        <f t="shared" si="1"/>
        <v>8183.88</v>
      </c>
      <c r="P44" s="1541">
        <f t="shared" si="1"/>
        <v>11228.92</v>
      </c>
      <c r="Q44" s="1541">
        <f t="shared" si="1"/>
        <v>0</v>
      </c>
      <c r="R44" s="1541">
        <f t="shared" si="1"/>
        <v>19412.8</v>
      </c>
    </row>
    <row r="45" spans="1:20" x14ac:dyDescent="0.3">
      <c r="A45" s="1878" t="s">
        <v>3521</v>
      </c>
      <c r="B45" s="1460"/>
      <c r="C45" s="1459">
        <v>440962.24</v>
      </c>
      <c r="D45" s="1462"/>
      <c r="E45" s="1894">
        <v>440962.24</v>
      </c>
      <c r="O45" s="1541">
        <f t="shared" si="1"/>
        <v>0</v>
      </c>
      <c r="P45" s="1541">
        <f t="shared" si="1"/>
        <v>440962.24</v>
      </c>
      <c r="Q45" s="1541">
        <f t="shared" si="1"/>
        <v>0</v>
      </c>
      <c r="R45" s="1541">
        <f t="shared" si="1"/>
        <v>440962.24</v>
      </c>
    </row>
    <row r="46" spans="1:20" x14ac:dyDescent="0.3">
      <c r="A46" s="1878" t="s">
        <v>3536</v>
      </c>
      <c r="B46" s="1468">
        <v>-15077.46</v>
      </c>
      <c r="C46" s="1462"/>
      <c r="D46" s="1462"/>
      <c r="E46" s="1468">
        <v>-15077.46</v>
      </c>
      <c r="O46" s="1541">
        <f t="shared" si="1"/>
        <v>-15077.46</v>
      </c>
      <c r="P46" s="1541">
        <f t="shared" si="1"/>
        <v>0</v>
      </c>
      <c r="Q46" s="1541">
        <f t="shared" si="1"/>
        <v>0</v>
      </c>
      <c r="R46" s="1541">
        <f t="shared" si="1"/>
        <v>-15077.46</v>
      </c>
    </row>
    <row r="47" spans="1:20" x14ac:dyDescent="0.3">
      <c r="A47" s="1878" t="s">
        <v>3526</v>
      </c>
      <c r="B47" s="1468">
        <v>-13218441.33</v>
      </c>
      <c r="C47" s="1459">
        <v>2799</v>
      </c>
      <c r="D47" s="1462"/>
      <c r="E47" s="1468">
        <v>-13215642.33</v>
      </c>
      <c r="O47" s="1541">
        <f t="shared" si="1"/>
        <v>-13218441.33</v>
      </c>
      <c r="P47" s="1541">
        <f t="shared" si="1"/>
        <v>2799</v>
      </c>
      <c r="Q47" s="1541">
        <f t="shared" si="1"/>
        <v>0</v>
      </c>
      <c r="R47" s="1541">
        <f t="shared" si="1"/>
        <v>-13215642.33</v>
      </c>
    </row>
    <row r="48" spans="1:20" x14ac:dyDescent="0.3">
      <c r="A48" s="1878" t="s">
        <v>3537</v>
      </c>
      <c r="B48" s="1468">
        <v>-15077.46</v>
      </c>
      <c r="C48" s="1462"/>
      <c r="D48" s="1462"/>
      <c r="E48" s="1468">
        <v>-15077.46</v>
      </c>
      <c r="O48" s="1541">
        <f t="shared" si="1"/>
        <v>-15077.46</v>
      </c>
      <c r="P48" s="1541">
        <f t="shared" si="1"/>
        <v>0</v>
      </c>
      <c r="Q48" s="1541">
        <f t="shared" si="1"/>
        <v>0</v>
      </c>
      <c r="R48" s="1541">
        <f t="shared" si="1"/>
        <v>-15077.46</v>
      </c>
      <c r="S48" s="1541">
        <f>SUM(R34:R48)</f>
        <v>30363104.789999999</v>
      </c>
      <c r="T48" s="1541">
        <f>S48-R32</f>
        <v>0</v>
      </c>
    </row>
    <row r="49" spans="1:18" x14ac:dyDescent="0.3">
      <c r="O49" s="1541"/>
      <c r="P49" s="1541"/>
      <c r="Q49" s="1541"/>
      <c r="R49" s="1541"/>
    </row>
    <row r="50" spans="1:18" x14ac:dyDescent="0.3">
      <c r="A50" s="1461" t="s">
        <v>2462</v>
      </c>
      <c r="B50" s="1896">
        <v>1180790.42</v>
      </c>
      <c r="C50" s="1460"/>
      <c r="D50" s="1460"/>
      <c r="E50" s="1896">
        <v>1180790.42</v>
      </c>
      <c r="H50" s="1461" t="s">
        <v>2462</v>
      </c>
      <c r="I50" s="1896">
        <v>4</v>
      </c>
      <c r="J50" s="1460"/>
      <c r="K50" s="1460"/>
      <c r="L50" s="1896">
        <v>4</v>
      </c>
      <c r="O50" s="1541">
        <f t="shared" si="1"/>
        <v>1180794.42</v>
      </c>
      <c r="P50" s="1541">
        <f t="shared" si="1"/>
        <v>0</v>
      </c>
      <c r="Q50" s="1541" t="e">
        <f>#REF!+K50</f>
        <v>#REF!</v>
      </c>
      <c r="R50" s="1541">
        <f t="shared" si="1"/>
        <v>1180794.42</v>
      </c>
    </row>
    <row r="51" spans="1:18" x14ac:dyDescent="0.3">
      <c r="A51" s="1461" t="s">
        <v>2463</v>
      </c>
      <c r="B51" s="1471">
        <v>-2562002.5099999998</v>
      </c>
      <c r="C51" s="1460"/>
      <c r="E51" s="1471">
        <v>-2562002.5099999998</v>
      </c>
      <c r="O51" s="1541">
        <f t="shared" ref="O51:R60" si="2">B51+I51</f>
        <v>-2562002.5099999998</v>
      </c>
      <c r="P51" s="1541">
        <f t="shared" si="2"/>
        <v>0</v>
      </c>
      <c r="Q51" s="1541">
        <f>D50+K51</f>
        <v>0</v>
      </c>
      <c r="R51" s="1541">
        <f t="shared" si="2"/>
        <v>-2562002.5099999998</v>
      </c>
    </row>
    <row r="52" spans="1:18" x14ac:dyDescent="0.3">
      <c r="A52" s="1852" t="s">
        <v>2455</v>
      </c>
      <c r="B52" s="1896">
        <v>1587132</v>
      </c>
      <c r="C52" s="1460"/>
      <c r="D52" s="1460"/>
      <c r="E52" s="1896">
        <v>1587132</v>
      </c>
      <c r="O52" s="1541">
        <f t="shared" si="2"/>
        <v>1587132</v>
      </c>
      <c r="P52" s="1541">
        <f t="shared" si="2"/>
        <v>0</v>
      </c>
      <c r="Q52" s="1541">
        <f t="shared" si="2"/>
        <v>0</v>
      </c>
      <c r="R52" s="1541">
        <f t="shared" si="2"/>
        <v>1587132</v>
      </c>
    </row>
    <row r="53" spans="1:18" x14ac:dyDescent="0.3">
      <c r="A53" s="1852" t="s">
        <v>2456</v>
      </c>
      <c r="B53" s="1896">
        <v>38415.42</v>
      </c>
      <c r="C53" s="1460"/>
      <c r="D53" s="1460"/>
      <c r="E53" s="1896">
        <v>38415.42</v>
      </c>
      <c r="O53" s="1541">
        <f t="shared" si="2"/>
        <v>38415.42</v>
      </c>
      <c r="P53" s="1541">
        <f t="shared" si="2"/>
        <v>0</v>
      </c>
      <c r="Q53" s="1541">
        <f t="shared" si="2"/>
        <v>0</v>
      </c>
      <c r="R53" s="1541">
        <f t="shared" si="2"/>
        <v>38415.42</v>
      </c>
    </row>
    <row r="54" spans="1:18" x14ac:dyDescent="0.3">
      <c r="A54" s="1852" t="s">
        <v>2464</v>
      </c>
      <c r="B54" s="1896">
        <v>214</v>
      </c>
      <c r="C54" s="1460"/>
      <c r="D54" s="1460"/>
      <c r="E54" s="1896">
        <v>214</v>
      </c>
      <c r="O54" s="1541">
        <f t="shared" si="2"/>
        <v>214</v>
      </c>
      <c r="P54" s="1541">
        <f t="shared" si="2"/>
        <v>0</v>
      </c>
      <c r="Q54" s="1541">
        <f t="shared" si="2"/>
        <v>0</v>
      </c>
      <c r="R54" s="1541">
        <f t="shared" si="2"/>
        <v>214</v>
      </c>
    </row>
    <row r="55" spans="1:18" x14ac:dyDescent="0.3">
      <c r="A55" s="1852" t="s">
        <v>2457</v>
      </c>
      <c r="B55" s="1896">
        <v>38415.42</v>
      </c>
      <c r="C55" s="1460"/>
      <c r="D55" s="1460"/>
      <c r="E55" s="1896">
        <v>38415.42</v>
      </c>
      <c r="O55" s="1541">
        <f t="shared" si="2"/>
        <v>38415.42</v>
      </c>
      <c r="P55" s="1541">
        <f t="shared" si="2"/>
        <v>0</v>
      </c>
      <c r="Q55" s="1541">
        <f t="shared" si="2"/>
        <v>0</v>
      </c>
      <c r="R55" s="1541">
        <f t="shared" si="2"/>
        <v>38415.42</v>
      </c>
    </row>
    <row r="56" spans="1:18" x14ac:dyDescent="0.3">
      <c r="A56" s="1852" t="s">
        <v>2458</v>
      </c>
      <c r="B56" s="1471">
        <v>-986302.58</v>
      </c>
      <c r="C56" s="1460"/>
      <c r="D56" s="1456">
        <f>1474224.61+85500</f>
        <v>1559724.61</v>
      </c>
      <c r="E56" s="1471">
        <f>-2460527.19-85500</f>
        <v>-2546027.19</v>
      </c>
      <c r="O56" s="1541">
        <f t="shared" si="2"/>
        <v>-986302.58</v>
      </c>
      <c r="P56" s="1541">
        <f t="shared" si="2"/>
        <v>0</v>
      </c>
      <c r="Q56" s="1541">
        <f t="shared" si="2"/>
        <v>1559724.61</v>
      </c>
      <c r="R56" s="1471">
        <f>-2460527.19-85500</f>
        <v>-2546027.19</v>
      </c>
    </row>
    <row r="57" spans="1:18" x14ac:dyDescent="0.3">
      <c r="A57" s="1852" t="s">
        <v>2459</v>
      </c>
      <c r="B57" s="1471">
        <v>-986302.58</v>
      </c>
      <c r="C57" s="1460"/>
      <c r="D57" s="1456">
        <f>1474224.61+85500</f>
        <v>1559724.61</v>
      </c>
      <c r="E57" s="1471">
        <f>-2460527.19-85500</f>
        <v>-2546027.19</v>
      </c>
      <c r="O57" s="1541">
        <f t="shared" si="2"/>
        <v>-986302.58</v>
      </c>
      <c r="P57" s="1541">
        <f t="shared" si="2"/>
        <v>0</v>
      </c>
      <c r="Q57" s="1541">
        <f t="shared" si="2"/>
        <v>1559724.61</v>
      </c>
      <c r="R57" s="1471">
        <f>-2460527.19-85500</f>
        <v>-2546027.19</v>
      </c>
    </row>
    <row r="58" spans="1:18" x14ac:dyDescent="0.3">
      <c r="A58" s="1461" t="s">
        <v>2465</v>
      </c>
      <c r="B58" s="1896">
        <v>7045096.9500000002</v>
      </c>
      <c r="C58" s="1460"/>
      <c r="D58" s="1460"/>
      <c r="E58" s="1896">
        <v>7045096.9500000002</v>
      </c>
      <c r="O58" s="1541">
        <f t="shared" si="2"/>
        <v>7045096.9500000002</v>
      </c>
      <c r="P58" s="1541">
        <f t="shared" si="2"/>
        <v>0</v>
      </c>
      <c r="Q58" s="1541">
        <f t="shared" si="2"/>
        <v>0</v>
      </c>
      <c r="R58" s="1541">
        <f t="shared" si="2"/>
        <v>7045096.9500000002</v>
      </c>
    </row>
    <row r="59" spans="1:18" x14ac:dyDescent="0.3">
      <c r="A59" s="1852" t="s">
        <v>2460</v>
      </c>
      <c r="B59" s="1462"/>
      <c r="C59" s="1456">
        <v>46254.5</v>
      </c>
      <c r="D59" s="1460"/>
      <c r="E59" s="1896">
        <v>46254.5</v>
      </c>
      <c r="O59" s="1541">
        <f t="shared" si="2"/>
        <v>0</v>
      </c>
      <c r="P59" s="1541">
        <f t="shared" si="2"/>
        <v>46254.5</v>
      </c>
      <c r="Q59" s="1541">
        <f t="shared" si="2"/>
        <v>0</v>
      </c>
      <c r="R59" s="1541">
        <f t="shared" si="2"/>
        <v>46254.5</v>
      </c>
    </row>
    <row r="60" spans="1:18" x14ac:dyDescent="0.3">
      <c r="A60" s="1852" t="s">
        <v>2461</v>
      </c>
      <c r="B60" s="1462"/>
      <c r="C60" s="1456">
        <v>825</v>
      </c>
      <c r="D60" s="1460"/>
      <c r="E60" s="1896">
        <v>825</v>
      </c>
      <c r="O60" s="1541">
        <f t="shared" si="2"/>
        <v>0</v>
      </c>
      <c r="P60" s="1541">
        <f t="shared" si="2"/>
        <v>825</v>
      </c>
      <c r="Q60" s="1541">
        <f t="shared" si="2"/>
        <v>0</v>
      </c>
      <c r="R60" s="1541">
        <f t="shared" si="2"/>
        <v>825</v>
      </c>
    </row>
    <row r="61" spans="1:18" x14ac:dyDescent="0.3">
      <c r="A61" s="1852"/>
      <c r="B61" s="1462"/>
      <c r="C61" s="1456"/>
      <c r="D61" s="1460"/>
      <c r="E61" s="1896"/>
      <c r="O61" s="1541"/>
      <c r="P61" s="1541"/>
      <c r="Q61" s="1541"/>
      <c r="R61" s="1541"/>
    </row>
    <row r="62" spans="1:18" x14ac:dyDescent="0.3">
      <c r="A62" s="1463" t="s">
        <v>2229</v>
      </c>
      <c r="B62" s="1848">
        <v>-239838</v>
      </c>
      <c r="C62" s="1854"/>
      <c r="D62" s="1854"/>
      <c r="E62" s="1848">
        <v>-239838</v>
      </c>
      <c r="O62" s="1541">
        <f t="shared" ref="O62:R63" si="3">B62+I62</f>
        <v>-239838</v>
      </c>
      <c r="P62" s="1541">
        <f t="shared" si="3"/>
        <v>0</v>
      </c>
      <c r="Q62" s="1541">
        <f t="shared" si="3"/>
        <v>0</v>
      </c>
      <c r="R62" s="1541">
        <f t="shared" si="3"/>
        <v>-239838</v>
      </c>
    </row>
    <row r="63" spans="1:18" x14ac:dyDescent="0.3">
      <c r="A63" s="1855" t="s">
        <v>2466</v>
      </c>
      <c r="B63" s="1471">
        <v>-239838</v>
      </c>
      <c r="C63" s="1460"/>
      <c r="D63" s="1460"/>
      <c r="E63" s="1471">
        <v>-239838</v>
      </c>
      <c r="O63" s="1541">
        <f t="shared" si="3"/>
        <v>-239838</v>
      </c>
      <c r="P63" s="1541">
        <f t="shared" si="3"/>
        <v>0</v>
      </c>
      <c r="Q63" s="1541">
        <f t="shared" si="3"/>
        <v>0</v>
      </c>
      <c r="R63" s="1541">
        <f t="shared" si="3"/>
        <v>-239838</v>
      </c>
    </row>
    <row r="64" spans="1:18" x14ac:dyDescent="0.3">
      <c r="A64" s="1855"/>
      <c r="B64" s="1471"/>
      <c r="C64" s="1460"/>
      <c r="D64" s="1460"/>
      <c r="E64" s="1471"/>
      <c r="O64" s="1541"/>
      <c r="P64" s="1541"/>
      <c r="Q64" s="1541"/>
      <c r="R64" s="1541"/>
    </row>
    <row r="65" spans="1:18" x14ac:dyDescent="0.3">
      <c r="A65" s="1463" t="s">
        <v>2228</v>
      </c>
      <c r="B65" s="1897">
        <v>5220533.58</v>
      </c>
      <c r="C65" s="1849">
        <v>330692200.49000001</v>
      </c>
      <c r="D65" s="1849">
        <v>210212557.36000001</v>
      </c>
      <c r="E65" s="1897">
        <v>125700176.70999999</v>
      </c>
      <c r="H65" s="1463" t="s">
        <v>2228</v>
      </c>
      <c r="I65" s="1897">
        <v>3116620.59</v>
      </c>
      <c r="J65" s="1854"/>
      <c r="K65" s="1849">
        <v>28412857</v>
      </c>
      <c r="L65" s="1848">
        <v>-25296236.41</v>
      </c>
      <c r="N65" s="1887">
        <f>E65+L65</f>
        <v>100403940.3</v>
      </c>
      <c r="O65" s="1541">
        <f t="shared" ref="O65:R81" si="4">B65+I65</f>
        <v>8337154.1699999999</v>
      </c>
      <c r="P65" s="1541">
        <f t="shared" si="4"/>
        <v>330692200.49000001</v>
      </c>
      <c r="Q65" s="1541">
        <f t="shared" si="4"/>
        <v>238625414.36000001</v>
      </c>
      <c r="R65" s="1541">
        <f t="shared" si="4"/>
        <v>100403940.3</v>
      </c>
    </row>
    <row r="66" spans="1:18" x14ac:dyDescent="0.3">
      <c r="A66" s="1850" t="s">
        <v>2467</v>
      </c>
      <c r="B66" s="1473"/>
      <c r="C66" s="1877">
        <v>26960017.370000001</v>
      </c>
      <c r="D66" s="1877">
        <v>27979471.129999999</v>
      </c>
      <c r="E66" s="1876">
        <v>-1019453.76</v>
      </c>
      <c r="O66" s="1541">
        <f t="shared" si="4"/>
        <v>0</v>
      </c>
      <c r="P66" s="1541">
        <f t="shared" si="4"/>
        <v>26960017.370000001</v>
      </c>
      <c r="Q66" s="1541">
        <f t="shared" si="4"/>
        <v>27979471.129999999</v>
      </c>
      <c r="R66" s="1541">
        <f t="shared" si="4"/>
        <v>-1019453.76</v>
      </c>
    </row>
    <row r="67" spans="1:18" x14ac:dyDescent="0.3">
      <c r="A67" s="1878" t="s">
        <v>3538</v>
      </c>
      <c r="B67" s="1460"/>
      <c r="C67" s="1459">
        <v>1000</v>
      </c>
      <c r="D67" s="1462"/>
      <c r="E67" s="1894">
        <v>1000</v>
      </c>
      <c r="O67" s="1541">
        <f t="shared" si="4"/>
        <v>0</v>
      </c>
      <c r="P67" s="1541">
        <f t="shared" si="4"/>
        <v>1000</v>
      </c>
      <c r="Q67" s="1541">
        <f t="shared" si="4"/>
        <v>0</v>
      </c>
      <c r="R67" s="1899">
        <f t="shared" si="4"/>
        <v>1000</v>
      </c>
    </row>
    <row r="68" spans="1:18" x14ac:dyDescent="0.3">
      <c r="A68" s="1878" t="s">
        <v>3539</v>
      </c>
      <c r="B68" s="1460"/>
      <c r="C68" s="1459">
        <v>40320</v>
      </c>
      <c r="D68" s="1459">
        <v>40321</v>
      </c>
      <c r="E68" s="1468">
        <v>-1</v>
      </c>
      <c r="O68" s="1541">
        <f t="shared" si="4"/>
        <v>0</v>
      </c>
      <c r="P68" s="1541">
        <f t="shared" si="4"/>
        <v>40320</v>
      </c>
      <c r="Q68" s="1541">
        <f t="shared" si="4"/>
        <v>40321</v>
      </c>
      <c r="R68" s="1899">
        <f t="shared" si="4"/>
        <v>-1</v>
      </c>
    </row>
    <row r="69" spans="1:18" x14ac:dyDescent="0.3">
      <c r="A69" s="1878" t="s">
        <v>3540</v>
      </c>
      <c r="B69" s="1460"/>
      <c r="C69" s="1459">
        <v>26918697.370000001</v>
      </c>
      <c r="D69" s="1459">
        <v>27939150.129999999</v>
      </c>
      <c r="E69" s="1468">
        <v>-1020452.76</v>
      </c>
      <c r="O69" s="1541">
        <f t="shared" si="4"/>
        <v>0</v>
      </c>
      <c r="P69" s="1541">
        <f t="shared" si="4"/>
        <v>26918697.370000001</v>
      </c>
      <c r="Q69" s="1541">
        <f t="shared" si="4"/>
        <v>27939150.129999999</v>
      </c>
      <c r="R69" s="1899">
        <f t="shared" si="4"/>
        <v>-1020452.76</v>
      </c>
    </row>
    <row r="70" spans="1:18" x14ac:dyDescent="0.3">
      <c r="A70" s="1850" t="s">
        <v>2408</v>
      </c>
      <c r="B70" s="1904">
        <v>5220533.58</v>
      </c>
      <c r="C70" s="1465">
        <v>1070000</v>
      </c>
      <c r="D70" s="1465">
        <v>100000</v>
      </c>
      <c r="E70" s="1904">
        <v>6190533.5800000001</v>
      </c>
      <c r="H70" s="1850" t="s">
        <v>2408</v>
      </c>
      <c r="I70" s="1882">
        <v>-3420949.6</v>
      </c>
      <c r="J70" s="1470"/>
      <c r="K70" s="1470"/>
      <c r="L70" s="1904">
        <f>L71+L78</f>
        <v>3116620.5900000003</v>
      </c>
      <c r="O70" s="1541">
        <f t="shared" si="4"/>
        <v>1799583.98</v>
      </c>
      <c r="P70" s="1541">
        <f t="shared" si="4"/>
        <v>1070000</v>
      </c>
      <c r="Q70" s="1541">
        <f t="shared" si="4"/>
        <v>100000</v>
      </c>
      <c r="R70" s="1541">
        <f t="shared" si="4"/>
        <v>9307154.1699999999</v>
      </c>
    </row>
    <row r="71" spans="1:18" x14ac:dyDescent="0.3">
      <c r="A71" s="1851" t="s">
        <v>2400</v>
      </c>
      <c r="B71" s="1898">
        <v>1650443.33</v>
      </c>
      <c r="C71" s="1874">
        <v>1070000</v>
      </c>
      <c r="D71" s="1874">
        <v>100000</v>
      </c>
      <c r="E71" s="1898">
        <v>2620443.33</v>
      </c>
      <c r="H71" s="1463" t="s">
        <v>2400</v>
      </c>
      <c r="I71" s="1902">
        <v>6537570.1900000004</v>
      </c>
      <c r="J71" s="1473"/>
      <c r="K71" s="1473"/>
      <c r="L71" s="1902">
        <v>6537570.1900000004</v>
      </c>
      <c r="O71" s="1541">
        <f t="shared" si="4"/>
        <v>8188013.5200000005</v>
      </c>
      <c r="P71" s="1541">
        <f t="shared" si="4"/>
        <v>1070000</v>
      </c>
      <c r="Q71" s="1541">
        <f t="shared" si="4"/>
        <v>100000</v>
      </c>
      <c r="R71" s="1541">
        <f t="shared" si="4"/>
        <v>9158013.5199999996</v>
      </c>
    </row>
    <row r="72" spans="1:18" x14ac:dyDescent="0.3">
      <c r="A72" s="1895" t="s">
        <v>3691</v>
      </c>
      <c r="B72" s="1462"/>
      <c r="C72" s="1456">
        <v>1070000</v>
      </c>
      <c r="D72" s="1460"/>
      <c r="E72" s="1896">
        <v>1070000</v>
      </c>
      <c r="O72" s="1541">
        <f t="shared" si="4"/>
        <v>0</v>
      </c>
      <c r="P72" s="1541">
        <f t="shared" si="4"/>
        <v>1070000</v>
      </c>
      <c r="Q72" s="1541">
        <f t="shared" si="4"/>
        <v>0</v>
      </c>
      <c r="R72" s="1899">
        <f t="shared" si="4"/>
        <v>1070000</v>
      </c>
    </row>
    <row r="73" spans="1:18" x14ac:dyDescent="0.3">
      <c r="A73" s="1895" t="s">
        <v>3692</v>
      </c>
      <c r="B73" s="1896">
        <v>5616653.6699999999</v>
      </c>
      <c r="C73" s="1460"/>
      <c r="D73" s="1456">
        <v>100000</v>
      </c>
      <c r="E73" s="1896">
        <v>5516653.6699999999</v>
      </c>
      <c r="H73" s="1879" t="s">
        <v>3692</v>
      </c>
      <c r="I73" s="1894">
        <v>415851.45</v>
      </c>
      <c r="J73" s="1462"/>
      <c r="K73" s="1462"/>
      <c r="L73" s="1894">
        <v>415851.45</v>
      </c>
      <c r="O73" s="1541">
        <f t="shared" si="4"/>
        <v>6032505.1200000001</v>
      </c>
      <c r="P73" s="1541">
        <f t="shared" si="4"/>
        <v>0</v>
      </c>
      <c r="Q73" s="1541">
        <f t="shared" si="4"/>
        <v>100000</v>
      </c>
      <c r="R73" s="1899">
        <f t="shared" si="4"/>
        <v>5932505.1200000001</v>
      </c>
    </row>
    <row r="74" spans="1:18" x14ac:dyDescent="0.3">
      <c r="A74" s="1895" t="s">
        <v>3713</v>
      </c>
      <c r="B74" s="1896">
        <v>381605</v>
      </c>
      <c r="C74" s="1460"/>
      <c r="D74" s="1460"/>
      <c r="E74" s="1896">
        <v>381605</v>
      </c>
      <c r="H74" s="1879" t="s">
        <v>3713</v>
      </c>
      <c r="I74" s="1468">
        <v>-381605</v>
      </c>
      <c r="J74" s="1462"/>
      <c r="K74" s="1462"/>
      <c r="L74" s="1468">
        <v>-381605</v>
      </c>
      <c r="O74" s="1541">
        <f t="shared" si="4"/>
        <v>0</v>
      </c>
      <c r="P74" s="1541">
        <f t="shared" si="4"/>
        <v>0</v>
      </c>
      <c r="Q74" s="1541">
        <f t="shared" si="4"/>
        <v>0</v>
      </c>
      <c r="R74" s="1899">
        <f t="shared" si="4"/>
        <v>0</v>
      </c>
    </row>
    <row r="75" spans="1:18" x14ac:dyDescent="0.3">
      <c r="A75" s="1895" t="s">
        <v>3714</v>
      </c>
      <c r="B75" s="1896">
        <v>728000</v>
      </c>
      <c r="C75" s="1460"/>
      <c r="D75" s="1460"/>
      <c r="E75" s="1896">
        <v>728000</v>
      </c>
      <c r="H75" s="1878" t="s">
        <v>3714</v>
      </c>
      <c r="I75" s="1468">
        <v>-728000</v>
      </c>
      <c r="J75" s="1462"/>
      <c r="K75" s="1462"/>
      <c r="L75" s="1468">
        <v>-728000</v>
      </c>
      <c r="O75" s="1541">
        <f t="shared" si="4"/>
        <v>0</v>
      </c>
      <c r="P75" s="1541">
        <f t="shared" si="4"/>
        <v>0</v>
      </c>
      <c r="Q75" s="1541">
        <f t="shared" si="4"/>
        <v>0</v>
      </c>
      <c r="R75" s="1899">
        <f t="shared" si="4"/>
        <v>0</v>
      </c>
    </row>
    <row r="76" spans="1:18" x14ac:dyDescent="0.3">
      <c r="A76" s="1895" t="s">
        <v>3693</v>
      </c>
      <c r="B76" s="1471">
        <v>-5075815.34</v>
      </c>
      <c r="C76" s="1460"/>
      <c r="D76" s="1460"/>
      <c r="E76" s="1471">
        <v>-5075815.34</v>
      </c>
      <c r="H76" s="1878" t="s">
        <v>3693</v>
      </c>
      <c r="I76" s="1894">
        <v>7231323.7400000002</v>
      </c>
      <c r="J76" s="1462"/>
      <c r="K76" s="1462"/>
      <c r="L76" s="1894">
        <v>7231323.7400000002</v>
      </c>
      <c r="O76" s="1541">
        <f t="shared" si="4"/>
        <v>2155508.4000000004</v>
      </c>
      <c r="P76" s="1541">
        <f t="shared" si="4"/>
        <v>0</v>
      </c>
      <c r="Q76" s="1541">
        <f t="shared" si="4"/>
        <v>0</v>
      </c>
      <c r="R76" s="1899">
        <f t="shared" si="4"/>
        <v>2155508.4000000004</v>
      </c>
    </row>
    <row r="77" spans="1:18" x14ac:dyDescent="0.3">
      <c r="A77" s="1879" t="s">
        <v>2393</v>
      </c>
      <c r="B77" s="1894">
        <v>70000</v>
      </c>
      <c r="C77" s="1462"/>
      <c r="D77" s="1462"/>
      <c r="E77" s="1894">
        <v>70000</v>
      </c>
      <c r="H77" s="1850"/>
      <c r="I77" s="1882"/>
      <c r="J77" s="1470"/>
      <c r="K77" s="1470"/>
      <c r="L77" s="1882"/>
      <c r="O77" s="1541">
        <f t="shared" si="4"/>
        <v>70000</v>
      </c>
      <c r="P77" s="1541">
        <f t="shared" si="4"/>
        <v>0</v>
      </c>
      <c r="Q77" s="1541">
        <f t="shared" si="4"/>
        <v>0</v>
      </c>
      <c r="R77" s="1899">
        <f t="shared" si="4"/>
        <v>70000</v>
      </c>
    </row>
    <row r="78" spans="1:18" x14ac:dyDescent="0.3">
      <c r="A78" s="1878" t="s">
        <v>3715</v>
      </c>
      <c r="B78" s="1894">
        <v>3420949.6</v>
      </c>
      <c r="C78" s="1462"/>
      <c r="D78" s="1462"/>
      <c r="E78" s="1894">
        <v>3420949.6</v>
      </c>
      <c r="H78" s="1878" t="s">
        <v>3715</v>
      </c>
      <c r="I78" s="1468">
        <v>-3420949.6</v>
      </c>
      <c r="J78" s="1462"/>
      <c r="K78" s="1462"/>
      <c r="L78" s="1468">
        <v>-3420949.6</v>
      </c>
      <c r="O78" s="1541">
        <f t="shared" si="4"/>
        <v>0</v>
      </c>
      <c r="P78" s="1541">
        <f t="shared" si="4"/>
        <v>0</v>
      </c>
      <c r="Q78" s="1541">
        <f t="shared" si="4"/>
        <v>0</v>
      </c>
      <c r="R78" s="1899">
        <f t="shared" si="4"/>
        <v>0</v>
      </c>
    </row>
    <row r="79" spans="1:18" x14ac:dyDescent="0.3">
      <c r="A79" s="1878" t="s">
        <v>2394</v>
      </c>
      <c r="B79" s="1894">
        <v>247065.25</v>
      </c>
      <c r="C79" s="1462"/>
      <c r="D79" s="1462"/>
      <c r="E79" s="1894">
        <v>247065.25</v>
      </c>
      <c r="O79" s="1541">
        <f t="shared" si="4"/>
        <v>247065.25</v>
      </c>
      <c r="P79" s="1541">
        <f t="shared" si="4"/>
        <v>0</v>
      </c>
      <c r="Q79" s="1541">
        <f t="shared" si="4"/>
        <v>0</v>
      </c>
      <c r="R79" s="1899">
        <f t="shared" si="4"/>
        <v>247065.25</v>
      </c>
    </row>
    <row r="80" spans="1:18" x14ac:dyDescent="0.3">
      <c r="A80" s="1878" t="s">
        <v>2404</v>
      </c>
      <c r="B80" s="1468">
        <v>-167924.6</v>
      </c>
      <c r="C80" s="1462"/>
      <c r="D80" s="1462"/>
      <c r="E80" s="1468">
        <v>-167924.6</v>
      </c>
      <c r="O80" s="1541">
        <f t="shared" si="4"/>
        <v>-167924.6</v>
      </c>
      <c r="P80" s="1541">
        <f t="shared" si="4"/>
        <v>0</v>
      </c>
      <c r="Q80" s="1541">
        <f t="shared" si="4"/>
        <v>0</v>
      </c>
      <c r="R80" s="1899">
        <f t="shared" si="4"/>
        <v>-167924.6</v>
      </c>
    </row>
    <row r="81" spans="1:18" x14ac:dyDescent="0.3">
      <c r="A81" s="1850" t="s">
        <v>2474</v>
      </c>
      <c r="B81" s="1470"/>
      <c r="C81" s="1465">
        <v>301727692.12</v>
      </c>
      <c r="D81" s="1465">
        <v>174481819.00999999</v>
      </c>
      <c r="E81" s="1904">
        <v>127245873.11</v>
      </c>
      <c r="H81" s="1850" t="s">
        <v>2474</v>
      </c>
      <c r="I81" s="1470"/>
      <c r="J81" s="1470"/>
      <c r="K81" s="1465">
        <v>28405857</v>
      </c>
      <c r="L81" s="1882">
        <v>-28405857</v>
      </c>
      <c r="O81" s="1541">
        <f t="shared" si="4"/>
        <v>0</v>
      </c>
      <c r="P81" s="1541">
        <f t="shared" si="4"/>
        <v>301727692.12</v>
      </c>
      <c r="Q81" s="1541">
        <f t="shared" si="4"/>
        <v>202887676.00999999</v>
      </c>
      <c r="R81" s="1541">
        <f t="shared" si="4"/>
        <v>98840016.109999999</v>
      </c>
    </row>
    <row r="82" spans="1:18" x14ac:dyDescent="0.3">
      <c r="A82" s="1878" t="s">
        <v>3541</v>
      </c>
      <c r="B82" s="1460"/>
      <c r="C82" s="1459">
        <v>398250</v>
      </c>
      <c r="D82" s="1459">
        <v>190688</v>
      </c>
      <c r="E82" s="1894">
        <v>207562</v>
      </c>
      <c r="H82" s="1878"/>
      <c r="I82" s="1460"/>
      <c r="J82" s="1462"/>
      <c r="K82" s="1459"/>
      <c r="L82" s="1468"/>
      <c r="O82" s="1541">
        <f t="shared" ref="O82:R97" si="5">B82+I82</f>
        <v>0</v>
      </c>
      <c r="P82" s="1541">
        <f t="shared" si="5"/>
        <v>398250</v>
      </c>
      <c r="Q82" s="1541">
        <f t="shared" si="5"/>
        <v>190688</v>
      </c>
      <c r="R82" s="1899">
        <f t="shared" si="5"/>
        <v>207562</v>
      </c>
    </row>
    <row r="83" spans="1:18" x14ac:dyDescent="0.3">
      <c r="A83" s="1855" t="s">
        <v>3542</v>
      </c>
      <c r="B83" s="1460"/>
      <c r="C83" s="1459">
        <v>63895</v>
      </c>
      <c r="D83" s="1459">
        <v>102911</v>
      </c>
      <c r="E83" s="1468">
        <v>-39016</v>
      </c>
      <c r="H83" s="1878"/>
      <c r="I83" s="1460"/>
      <c r="J83" s="1462"/>
      <c r="K83" s="1459"/>
      <c r="L83" s="1468"/>
      <c r="O83" s="1541">
        <f t="shared" si="5"/>
        <v>0</v>
      </c>
      <c r="P83" s="1541">
        <f t="shared" si="5"/>
        <v>63895</v>
      </c>
      <c r="Q83" s="1541">
        <f t="shared" si="5"/>
        <v>102911</v>
      </c>
      <c r="R83" s="1899">
        <f t="shared" si="5"/>
        <v>-39016</v>
      </c>
    </row>
    <row r="84" spans="1:18" x14ac:dyDescent="0.3">
      <c r="A84" s="1878" t="s">
        <v>3543</v>
      </c>
      <c r="B84" s="1460"/>
      <c r="C84" s="1459">
        <v>244460</v>
      </c>
      <c r="D84" s="1459">
        <v>125180</v>
      </c>
      <c r="E84" s="1894">
        <v>119280</v>
      </c>
      <c r="H84" s="1878"/>
      <c r="I84" s="1460"/>
      <c r="J84" s="1462"/>
      <c r="K84" s="1459"/>
      <c r="L84" s="1468"/>
      <c r="O84" s="1541">
        <f t="shared" si="5"/>
        <v>0</v>
      </c>
      <c r="P84" s="1541">
        <f t="shared" si="5"/>
        <v>244460</v>
      </c>
      <c r="Q84" s="1541">
        <f t="shared" si="5"/>
        <v>125180</v>
      </c>
      <c r="R84" s="1899">
        <f t="shared" si="5"/>
        <v>119280</v>
      </c>
    </row>
    <row r="85" spans="1:18" x14ac:dyDescent="0.3">
      <c r="A85" s="1878" t="s">
        <v>3544</v>
      </c>
      <c r="B85" s="1460"/>
      <c r="C85" s="1459">
        <v>241364.9</v>
      </c>
      <c r="D85" s="1459">
        <v>329555.90000000002</v>
      </c>
      <c r="E85" s="1468">
        <v>-88191</v>
      </c>
      <c r="H85" s="1855"/>
      <c r="I85" s="1460"/>
      <c r="J85" s="1462"/>
      <c r="K85" s="1459"/>
      <c r="L85" s="1468"/>
      <c r="O85" s="1541">
        <f t="shared" si="5"/>
        <v>0</v>
      </c>
      <c r="P85" s="1541">
        <f t="shared" si="5"/>
        <v>241364.9</v>
      </c>
      <c r="Q85" s="1541">
        <f t="shared" si="5"/>
        <v>329555.90000000002</v>
      </c>
      <c r="R85" s="1899">
        <f t="shared" si="5"/>
        <v>-88191</v>
      </c>
    </row>
    <row r="86" spans="1:18" x14ac:dyDescent="0.3">
      <c r="A86" s="1878" t="s">
        <v>3545</v>
      </c>
      <c r="B86" s="1460"/>
      <c r="C86" s="1459">
        <v>50032</v>
      </c>
      <c r="D86" s="1462"/>
      <c r="E86" s="1894">
        <v>50032</v>
      </c>
      <c r="H86" s="1878"/>
      <c r="I86" s="1460"/>
      <c r="J86" s="1462"/>
      <c r="K86" s="1459"/>
      <c r="L86" s="1468"/>
      <c r="O86" s="1541">
        <f t="shared" si="5"/>
        <v>0</v>
      </c>
      <c r="P86" s="1541">
        <f t="shared" si="5"/>
        <v>50032</v>
      </c>
      <c r="Q86" s="1541">
        <f t="shared" si="5"/>
        <v>0</v>
      </c>
      <c r="R86" s="1899">
        <f t="shared" si="5"/>
        <v>50032</v>
      </c>
    </row>
    <row r="87" spans="1:18" x14ac:dyDescent="0.3">
      <c r="A87" s="1879" t="s">
        <v>3546</v>
      </c>
      <c r="B87" s="1460"/>
      <c r="C87" s="1459">
        <v>103804</v>
      </c>
      <c r="D87" s="1462"/>
      <c r="E87" s="1894">
        <v>103804</v>
      </c>
      <c r="H87" s="1878"/>
      <c r="I87" s="1460"/>
      <c r="J87" s="1462"/>
      <c r="K87" s="1459"/>
      <c r="L87" s="1468"/>
      <c r="O87" s="1541">
        <f t="shared" si="5"/>
        <v>0</v>
      </c>
      <c r="P87" s="1541">
        <f t="shared" si="5"/>
        <v>103804</v>
      </c>
      <c r="Q87" s="1541">
        <f t="shared" si="5"/>
        <v>0</v>
      </c>
      <c r="R87" s="1899">
        <f t="shared" si="5"/>
        <v>103804</v>
      </c>
    </row>
    <row r="88" spans="1:18" x14ac:dyDescent="0.3">
      <c r="A88" s="1878" t="s">
        <v>3547</v>
      </c>
      <c r="B88" s="1460"/>
      <c r="C88" s="1459">
        <v>4123</v>
      </c>
      <c r="D88" s="1459">
        <v>4123</v>
      </c>
      <c r="E88" s="1460"/>
      <c r="H88" s="1878"/>
      <c r="I88" s="1460"/>
      <c r="J88" s="1462"/>
      <c r="K88" s="1459"/>
      <c r="L88" s="1468"/>
      <c r="O88" s="1541">
        <f t="shared" si="5"/>
        <v>0</v>
      </c>
      <c r="P88" s="1541">
        <f t="shared" si="5"/>
        <v>4123</v>
      </c>
      <c r="Q88" s="1541">
        <f t="shared" si="5"/>
        <v>4123</v>
      </c>
      <c r="R88" s="1899">
        <f t="shared" si="5"/>
        <v>0</v>
      </c>
    </row>
    <row r="89" spans="1:18" x14ac:dyDescent="0.3">
      <c r="A89" s="1878" t="s">
        <v>3548</v>
      </c>
      <c r="B89" s="1460"/>
      <c r="C89" s="1459">
        <v>500000</v>
      </c>
      <c r="D89" s="1462"/>
      <c r="E89" s="1894">
        <v>500000</v>
      </c>
      <c r="H89" s="1878"/>
      <c r="I89" s="1460"/>
      <c r="J89" s="1462"/>
      <c r="K89" s="1459"/>
      <c r="L89" s="1468"/>
      <c r="O89" s="1541">
        <f t="shared" si="5"/>
        <v>0</v>
      </c>
      <c r="P89" s="1541">
        <f t="shared" si="5"/>
        <v>500000</v>
      </c>
      <c r="Q89" s="1541">
        <f t="shared" si="5"/>
        <v>0</v>
      </c>
      <c r="R89" s="1899">
        <f t="shared" si="5"/>
        <v>500000</v>
      </c>
    </row>
    <row r="90" spans="1:18" x14ac:dyDescent="0.3">
      <c r="A90" s="1878" t="s">
        <v>3549</v>
      </c>
      <c r="B90" s="1460"/>
      <c r="C90" s="1459">
        <v>309958</v>
      </c>
      <c r="D90" s="1459">
        <v>277967</v>
      </c>
      <c r="E90" s="1894">
        <v>31991</v>
      </c>
      <c r="H90" s="1878"/>
      <c r="I90" s="1460"/>
      <c r="J90" s="1462"/>
      <c r="K90" s="1459"/>
      <c r="L90" s="1468"/>
      <c r="O90" s="1541">
        <f t="shared" si="5"/>
        <v>0</v>
      </c>
      <c r="P90" s="1541">
        <f t="shared" si="5"/>
        <v>309958</v>
      </c>
      <c r="Q90" s="1541">
        <f t="shared" si="5"/>
        <v>277967</v>
      </c>
      <c r="R90" s="1899">
        <f t="shared" si="5"/>
        <v>31991</v>
      </c>
    </row>
    <row r="91" spans="1:18" x14ac:dyDescent="0.3">
      <c r="A91" s="1878" t="s">
        <v>3550</v>
      </c>
      <c r="B91" s="1460"/>
      <c r="C91" s="1459">
        <v>111929</v>
      </c>
      <c r="D91" s="1459">
        <v>96932</v>
      </c>
      <c r="E91" s="1894">
        <v>14997</v>
      </c>
      <c r="H91" s="1878"/>
      <c r="I91" s="1460"/>
      <c r="J91" s="1462"/>
      <c r="K91" s="1459"/>
      <c r="L91" s="1468"/>
      <c r="O91" s="1541">
        <f t="shared" si="5"/>
        <v>0</v>
      </c>
      <c r="P91" s="1541">
        <f t="shared" si="5"/>
        <v>111929</v>
      </c>
      <c r="Q91" s="1541">
        <f t="shared" si="5"/>
        <v>96932</v>
      </c>
      <c r="R91" s="1899">
        <f t="shared" si="5"/>
        <v>14997</v>
      </c>
    </row>
    <row r="92" spans="1:18" x14ac:dyDescent="0.3">
      <c r="A92" s="1879" t="s">
        <v>3551</v>
      </c>
      <c r="B92" s="1460"/>
      <c r="C92" s="1462"/>
      <c r="D92" s="1459">
        <v>85979.25</v>
      </c>
      <c r="E92" s="1468">
        <v>-85979.25</v>
      </c>
      <c r="H92" s="1878"/>
      <c r="I92" s="1460"/>
      <c r="J92" s="1462"/>
      <c r="K92" s="1459"/>
      <c r="L92" s="1468"/>
      <c r="O92" s="1541">
        <f t="shared" si="5"/>
        <v>0</v>
      </c>
      <c r="P92" s="1541">
        <f t="shared" si="5"/>
        <v>0</v>
      </c>
      <c r="Q92" s="1541">
        <f t="shared" si="5"/>
        <v>85979.25</v>
      </c>
      <c r="R92" s="1899">
        <f t="shared" si="5"/>
        <v>-85979.25</v>
      </c>
    </row>
    <row r="93" spans="1:18" x14ac:dyDescent="0.3">
      <c r="A93" s="1878" t="s">
        <v>3667</v>
      </c>
      <c r="B93" s="1460"/>
      <c r="C93" s="1459">
        <v>961700</v>
      </c>
      <c r="D93" s="1459">
        <v>480850</v>
      </c>
      <c r="E93" s="1894">
        <v>480850</v>
      </c>
      <c r="H93" s="1878" t="s">
        <v>3667</v>
      </c>
      <c r="I93" s="1460"/>
      <c r="J93" s="1462"/>
      <c r="K93" s="1459">
        <v>480850</v>
      </c>
      <c r="L93" s="1468">
        <v>-480850</v>
      </c>
      <c r="O93" s="1541">
        <f t="shared" si="5"/>
        <v>0</v>
      </c>
      <c r="P93" s="1541">
        <f t="shared" si="5"/>
        <v>961700</v>
      </c>
      <c r="Q93" s="1541">
        <f t="shared" si="5"/>
        <v>961700</v>
      </c>
      <c r="R93" s="1899">
        <f t="shared" si="5"/>
        <v>0</v>
      </c>
    </row>
    <row r="94" spans="1:18" ht="22.8" x14ac:dyDescent="0.3">
      <c r="A94" s="1880" t="s">
        <v>3552</v>
      </c>
      <c r="B94" s="1460"/>
      <c r="C94" s="1459">
        <v>287385</v>
      </c>
      <c r="D94" s="1459">
        <v>273036</v>
      </c>
      <c r="E94" s="1894">
        <v>14349</v>
      </c>
      <c r="H94" s="1878"/>
      <c r="I94" s="1460"/>
      <c r="J94" s="1462"/>
      <c r="K94" s="1459"/>
      <c r="L94" s="1468"/>
      <c r="O94" s="1541">
        <f t="shared" si="5"/>
        <v>0</v>
      </c>
      <c r="P94" s="1541">
        <f t="shared" si="5"/>
        <v>287385</v>
      </c>
      <c r="Q94" s="1541">
        <f t="shared" si="5"/>
        <v>273036</v>
      </c>
      <c r="R94" s="1899">
        <f t="shared" si="5"/>
        <v>14349</v>
      </c>
    </row>
    <row r="95" spans="1:18" x14ac:dyDescent="0.3">
      <c r="A95" s="1879" t="s">
        <v>3553</v>
      </c>
      <c r="B95" s="1460"/>
      <c r="C95" s="1459">
        <v>16882.490000000002</v>
      </c>
      <c r="D95" s="1459">
        <v>16882.490000000002</v>
      </c>
      <c r="E95" s="1460"/>
      <c r="H95" s="1878"/>
      <c r="I95" s="1460"/>
      <c r="J95" s="1462"/>
      <c r="K95" s="1459"/>
      <c r="L95" s="1468"/>
      <c r="O95" s="1541">
        <f t="shared" si="5"/>
        <v>0</v>
      </c>
      <c r="P95" s="1541">
        <f t="shared" si="5"/>
        <v>16882.490000000002</v>
      </c>
      <c r="Q95" s="1541">
        <f t="shared" si="5"/>
        <v>16882.490000000002</v>
      </c>
      <c r="R95" s="1899">
        <f t="shared" si="5"/>
        <v>0</v>
      </c>
    </row>
    <row r="96" spans="1:18" x14ac:dyDescent="0.3">
      <c r="A96" s="1855" t="s">
        <v>3554</v>
      </c>
      <c r="B96" s="1460"/>
      <c r="C96" s="1459">
        <v>152000</v>
      </c>
      <c r="D96" s="1459">
        <v>152000</v>
      </c>
      <c r="E96" s="1460"/>
      <c r="H96" s="1855"/>
      <c r="I96" s="1460"/>
      <c r="J96" s="1462"/>
      <c r="K96" s="1459"/>
      <c r="L96" s="1468"/>
      <c r="O96" s="1541">
        <f t="shared" si="5"/>
        <v>0</v>
      </c>
      <c r="P96" s="1541">
        <f t="shared" si="5"/>
        <v>152000</v>
      </c>
      <c r="Q96" s="1541">
        <f t="shared" si="5"/>
        <v>152000</v>
      </c>
      <c r="R96" s="1899">
        <f t="shared" si="5"/>
        <v>0</v>
      </c>
    </row>
    <row r="97" spans="1:18" x14ac:dyDescent="0.3">
      <c r="A97" s="1879" t="s">
        <v>3555</v>
      </c>
      <c r="B97" s="1460"/>
      <c r="C97" s="1459">
        <v>140400</v>
      </c>
      <c r="D97" s="1459">
        <v>60200</v>
      </c>
      <c r="E97" s="1894">
        <v>80200</v>
      </c>
      <c r="H97" s="1878"/>
      <c r="I97" s="1460"/>
      <c r="J97" s="1462"/>
      <c r="K97" s="1459"/>
      <c r="L97" s="1468"/>
      <c r="O97" s="1541">
        <f t="shared" si="5"/>
        <v>0</v>
      </c>
      <c r="P97" s="1541">
        <f t="shared" si="5"/>
        <v>140400</v>
      </c>
      <c r="Q97" s="1541">
        <f t="shared" si="5"/>
        <v>60200</v>
      </c>
      <c r="R97" s="1899">
        <f t="shared" si="5"/>
        <v>80200</v>
      </c>
    </row>
    <row r="98" spans="1:18" x14ac:dyDescent="0.3">
      <c r="A98" s="1855" t="s">
        <v>3556</v>
      </c>
      <c r="B98" s="1460"/>
      <c r="C98" s="1459">
        <v>300404</v>
      </c>
      <c r="D98" s="1459">
        <v>196400</v>
      </c>
      <c r="E98" s="1894">
        <v>104004</v>
      </c>
      <c r="H98" s="1878"/>
      <c r="I98" s="1460"/>
      <c r="J98" s="1462"/>
      <c r="K98" s="1459"/>
      <c r="L98" s="1468"/>
      <c r="O98" s="1541">
        <f t="shared" ref="O98:R161" si="6">B98+I98</f>
        <v>0</v>
      </c>
      <c r="P98" s="1541">
        <f t="shared" si="6"/>
        <v>300404</v>
      </c>
      <c r="Q98" s="1541">
        <f t="shared" si="6"/>
        <v>196400</v>
      </c>
      <c r="R98" s="1899">
        <f t="shared" si="6"/>
        <v>104004</v>
      </c>
    </row>
    <row r="99" spans="1:18" x14ac:dyDescent="0.3">
      <c r="A99" s="1878" t="s">
        <v>3557</v>
      </c>
      <c r="B99" s="1460"/>
      <c r="C99" s="1459">
        <v>12876782</v>
      </c>
      <c r="D99" s="1459">
        <v>9204000</v>
      </c>
      <c r="E99" s="1894">
        <v>3672782</v>
      </c>
      <c r="H99" s="1878"/>
      <c r="I99" s="1460"/>
      <c r="J99" s="1462"/>
      <c r="K99" s="1459"/>
      <c r="L99" s="1468"/>
      <c r="O99" s="1541">
        <f t="shared" si="6"/>
        <v>0</v>
      </c>
      <c r="P99" s="1541">
        <f t="shared" si="6"/>
        <v>12876782</v>
      </c>
      <c r="Q99" s="1541">
        <f t="shared" si="6"/>
        <v>9204000</v>
      </c>
      <c r="R99" s="1899">
        <f t="shared" si="6"/>
        <v>3672782</v>
      </c>
    </row>
    <row r="100" spans="1:18" x14ac:dyDescent="0.3">
      <c r="A100" s="1878" t="s">
        <v>3558</v>
      </c>
      <c r="B100" s="1460"/>
      <c r="C100" s="1459">
        <v>13000000</v>
      </c>
      <c r="D100" s="1459">
        <v>9598514</v>
      </c>
      <c r="E100" s="1894">
        <v>3401486</v>
      </c>
      <c r="H100" s="1878"/>
      <c r="I100" s="1460"/>
      <c r="J100" s="1462"/>
      <c r="K100" s="1459"/>
      <c r="L100" s="1468"/>
      <c r="O100" s="1541">
        <f t="shared" si="6"/>
        <v>0</v>
      </c>
      <c r="P100" s="1541">
        <f t="shared" si="6"/>
        <v>13000000</v>
      </c>
      <c r="Q100" s="1541">
        <f t="shared" si="6"/>
        <v>9598514</v>
      </c>
      <c r="R100" s="1899">
        <f t="shared" si="6"/>
        <v>3401486</v>
      </c>
    </row>
    <row r="101" spans="1:18" x14ac:dyDescent="0.3">
      <c r="A101" s="1879" t="s">
        <v>3559</v>
      </c>
      <c r="B101" s="1460"/>
      <c r="C101" s="1459">
        <v>6690600</v>
      </c>
      <c r="D101" s="1459">
        <v>7014510</v>
      </c>
      <c r="E101" s="1468">
        <v>-323910</v>
      </c>
      <c r="H101" s="1878"/>
      <c r="I101" s="1460"/>
      <c r="J101" s="1462"/>
      <c r="K101" s="1459"/>
      <c r="L101" s="1468"/>
      <c r="O101" s="1541">
        <f t="shared" si="6"/>
        <v>0</v>
      </c>
      <c r="P101" s="1541">
        <f t="shared" si="6"/>
        <v>6690600</v>
      </c>
      <c r="Q101" s="1541">
        <f t="shared" si="6"/>
        <v>7014510</v>
      </c>
      <c r="R101" s="1899">
        <f t="shared" si="6"/>
        <v>-323910</v>
      </c>
    </row>
    <row r="102" spans="1:18" x14ac:dyDescent="0.3">
      <c r="A102" s="1878" t="s">
        <v>3560</v>
      </c>
      <c r="B102" s="1460"/>
      <c r="C102" s="1459">
        <v>22400</v>
      </c>
      <c r="D102" s="1459">
        <v>22400</v>
      </c>
      <c r="E102" s="1460"/>
      <c r="H102" s="1878"/>
      <c r="I102" s="1460"/>
      <c r="J102" s="1462"/>
      <c r="K102" s="1459"/>
      <c r="L102" s="1468"/>
      <c r="O102" s="1541">
        <f t="shared" si="6"/>
        <v>0</v>
      </c>
      <c r="P102" s="1541">
        <f t="shared" si="6"/>
        <v>22400</v>
      </c>
      <c r="Q102" s="1541">
        <f t="shared" si="6"/>
        <v>22400</v>
      </c>
      <c r="R102" s="1899">
        <f t="shared" si="6"/>
        <v>0</v>
      </c>
    </row>
    <row r="103" spans="1:18" x14ac:dyDescent="0.3">
      <c r="A103" s="1879" t="s">
        <v>3561</v>
      </c>
      <c r="B103" s="1460"/>
      <c r="C103" s="1459">
        <v>495600</v>
      </c>
      <c r="D103" s="1462"/>
      <c r="E103" s="1894">
        <v>495600</v>
      </c>
      <c r="H103" s="1878"/>
      <c r="I103" s="1460"/>
      <c r="J103" s="1462"/>
      <c r="K103" s="1459"/>
      <c r="L103" s="1468"/>
      <c r="O103" s="1541">
        <f t="shared" si="6"/>
        <v>0</v>
      </c>
      <c r="P103" s="1541">
        <f t="shared" si="6"/>
        <v>495600</v>
      </c>
      <c r="Q103" s="1541">
        <f t="shared" si="6"/>
        <v>0</v>
      </c>
      <c r="R103" s="1899">
        <f t="shared" si="6"/>
        <v>495600</v>
      </c>
    </row>
    <row r="104" spans="1:18" x14ac:dyDescent="0.3">
      <c r="A104" s="1878" t="s">
        <v>3562</v>
      </c>
      <c r="B104" s="1460"/>
      <c r="C104" s="1459">
        <v>29400</v>
      </c>
      <c r="D104" s="1459">
        <v>29400</v>
      </c>
      <c r="E104" s="1460"/>
      <c r="H104" s="1878"/>
      <c r="I104" s="1460"/>
      <c r="J104" s="1462"/>
      <c r="K104" s="1459"/>
      <c r="L104" s="1468"/>
      <c r="O104" s="1541">
        <f t="shared" si="6"/>
        <v>0</v>
      </c>
      <c r="P104" s="1541">
        <f t="shared" si="6"/>
        <v>29400</v>
      </c>
      <c r="Q104" s="1541">
        <f t="shared" si="6"/>
        <v>29400</v>
      </c>
      <c r="R104" s="1899">
        <f t="shared" si="6"/>
        <v>0</v>
      </c>
    </row>
    <row r="105" spans="1:18" x14ac:dyDescent="0.3">
      <c r="A105" s="1878" t="s">
        <v>3563</v>
      </c>
      <c r="B105" s="1460"/>
      <c r="C105" s="1459">
        <v>10912</v>
      </c>
      <c r="D105" s="1459">
        <v>10912</v>
      </c>
      <c r="E105" s="1460"/>
      <c r="H105" s="1878"/>
      <c r="I105" s="1460"/>
      <c r="J105" s="1462"/>
      <c r="K105" s="1459"/>
      <c r="L105" s="1468"/>
      <c r="O105" s="1541">
        <f t="shared" si="6"/>
        <v>0</v>
      </c>
      <c r="P105" s="1541">
        <f t="shared" si="6"/>
        <v>10912</v>
      </c>
      <c r="Q105" s="1541">
        <f t="shared" si="6"/>
        <v>10912</v>
      </c>
      <c r="R105" s="1899">
        <f t="shared" si="6"/>
        <v>0</v>
      </c>
    </row>
    <row r="106" spans="1:18" x14ac:dyDescent="0.3">
      <c r="A106" s="1878" t="s">
        <v>3564</v>
      </c>
      <c r="B106" s="1460"/>
      <c r="C106" s="1459">
        <v>590420</v>
      </c>
      <c r="D106" s="1459">
        <v>590420</v>
      </c>
      <c r="E106" s="1460"/>
      <c r="H106" s="1855"/>
      <c r="I106" s="1460"/>
      <c r="J106" s="1462"/>
      <c r="K106" s="1459"/>
      <c r="L106" s="1468"/>
      <c r="O106" s="1541">
        <f t="shared" si="6"/>
        <v>0</v>
      </c>
      <c r="P106" s="1541">
        <f t="shared" si="6"/>
        <v>590420</v>
      </c>
      <c r="Q106" s="1541">
        <f t="shared" si="6"/>
        <v>590420</v>
      </c>
      <c r="R106" s="1899">
        <f t="shared" si="6"/>
        <v>0</v>
      </c>
    </row>
    <row r="107" spans="1:18" x14ac:dyDescent="0.3">
      <c r="A107" s="1878" t="s">
        <v>3565</v>
      </c>
      <c r="B107" s="1460"/>
      <c r="C107" s="1459">
        <v>2837038</v>
      </c>
      <c r="D107" s="1459">
        <v>1685940.34</v>
      </c>
      <c r="E107" s="1894">
        <v>1151097.6599999999</v>
      </c>
      <c r="H107" s="1855"/>
      <c r="I107" s="1460"/>
      <c r="J107" s="1462"/>
      <c r="K107" s="1459"/>
      <c r="L107" s="1468"/>
      <c r="O107" s="1541">
        <f t="shared" si="6"/>
        <v>0</v>
      </c>
      <c r="P107" s="1541">
        <f t="shared" si="6"/>
        <v>2837038</v>
      </c>
      <c r="Q107" s="1541">
        <f t="shared" si="6"/>
        <v>1685940.34</v>
      </c>
      <c r="R107" s="1899">
        <f t="shared" si="6"/>
        <v>1151097.6599999999</v>
      </c>
    </row>
    <row r="108" spans="1:18" x14ac:dyDescent="0.3">
      <c r="A108" s="1878" t="s">
        <v>3566</v>
      </c>
      <c r="B108" s="1460"/>
      <c r="C108" s="1459">
        <v>118008</v>
      </c>
      <c r="D108" s="1462"/>
      <c r="E108" s="1894">
        <v>118008</v>
      </c>
      <c r="H108" s="1855"/>
      <c r="I108" s="1460"/>
      <c r="J108" s="1462"/>
      <c r="K108" s="1459"/>
      <c r="L108" s="1468"/>
      <c r="O108" s="1541">
        <f t="shared" si="6"/>
        <v>0</v>
      </c>
      <c r="P108" s="1541">
        <f t="shared" si="6"/>
        <v>118008</v>
      </c>
      <c r="Q108" s="1541">
        <f t="shared" si="6"/>
        <v>0</v>
      </c>
      <c r="R108" s="1899">
        <f t="shared" si="6"/>
        <v>118008</v>
      </c>
    </row>
    <row r="109" spans="1:18" x14ac:dyDescent="0.3">
      <c r="A109" s="1878" t="s">
        <v>3567</v>
      </c>
      <c r="B109" s="1460"/>
      <c r="C109" s="1459">
        <v>401200</v>
      </c>
      <c r="D109" s="1459">
        <v>238360</v>
      </c>
      <c r="E109" s="1894">
        <v>162840</v>
      </c>
      <c r="O109" s="1541">
        <f t="shared" si="6"/>
        <v>0</v>
      </c>
      <c r="P109" s="1541">
        <f t="shared" si="6"/>
        <v>401200</v>
      </c>
      <c r="Q109" s="1541">
        <f t="shared" si="6"/>
        <v>238360</v>
      </c>
      <c r="R109" s="1899">
        <f t="shared" si="6"/>
        <v>162840</v>
      </c>
    </row>
    <row r="110" spans="1:18" x14ac:dyDescent="0.3">
      <c r="A110" s="1878" t="s">
        <v>3668</v>
      </c>
      <c r="B110" s="1460"/>
      <c r="C110" s="1459">
        <v>2395990</v>
      </c>
      <c r="D110" s="1459">
        <v>1328680</v>
      </c>
      <c r="E110" s="1894">
        <v>1067310</v>
      </c>
      <c r="H110" s="1878" t="s">
        <v>3668</v>
      </c>
      <c r="I110" s="1460"/>
      <c r="J110" s="1462"/>
      <c r="K110" s="1459">
        <v>1067310</v>
      </c>
      <c r="L110" s="1468">
        <v>-1067310</v>
      </c>
      <c r="O110" s="1541">
        <f t="shared" si="6"/>
        <v>0</v>
      </c>
      <c r="P110" s="1541">
        <f t="shared" si="6"/>
        <v>2395990</v>
      </c>
      <c r="Q110" s="1541">
        <f t="shared" si="6"/>
        <v>2395990</v>
      </c>
      <c r="R110" s="1899">
        <f t="shared" si="6"/>
        <v>0</v>
      </c>
    </row>
    <row r="111" spans="1:18" x14ac:dyDescent="0.3">
      <c r="A111" s="1879" t="s">
        <v>3568</v>
      </c>
      <c r="B111" s="1460"/>
      <c r="C111" s="1459">
        <v>31000</v>
      </c>
      <c r="D111" s="1459">
        <v>31000</v>
      </c>
      <c r="E111" s="1460"/>
      <c r="O111" s="1541">
        <f t="shared" si="6"/>
        <v>0</v>
      </c>
      <c r="P111" s="1541">
        <f t="shared" si="6"/>
        <v>31000</v>
      </c>
      <c r="Q111" s="1541">
        <f t="shared" si="6"/>
        <v>31000</v>
      </c>
      <c r="R111" s="1899">
        <f t="shared" si="6"/>
        <v>0</v>
      </c>
    </row>
    <row r="112" spans="1:18" x14ac:dyDescent="0.3">
      <c r="A112" s="1855" t="s">
        <v>3569</v>
      </c>
      <c r="B112" s="1460"/>
      <c r="C112" s="1459">
        <v>2111088</v>
      </c>
      <c r="D112" s="1459">
        <v>1335038</v>
      </c>
      <c r="E112" s="1894">
        <v>776050</v>
      </c>
      <c r="O112" s="1541">
        <f t="shared" si="6"/>
        <v>0</v>
      </c>
      <c r="P112" s="1541">
        <f t="shared" si="6"/>
        <v>2111088</v>
      </c>
      <c r="Q112" s="1541">
        <f t="shared" si="6"/>
        <v>1335038</v>
      </c>
      <c r="R112" s="1899">
        <f t="shared" si="6"/>
        <v>776050</v>
      </c>
    </row>
    <row r="113" spans="1:18" x14ac:dyDescent="0.3">
      <c r="A113" s="1879" t="s">
        <v>3570</v>
      </c>
      <c r="B113" s="1460"/>
      <c r="C113" s="1459">
        <v>1441599</v>
      </c>
      <c r="D113" s="1459">
        <v>767000</v>
      </c>
      <c r="E113" s="1894">
        <v>674599</v>
      </c>
      <c r="O113" s="1541">
        <f t="shared" si="6"/>
        <v>0</v>
      </c>
      <c r="P113" s="1541">
        <f t="shared" si="6"/>
        <v>1441599</v>
      </c>
      <c r="Q113" s="1541">
        <f t="shared" si="6"/>
        <v>767000</v>
      </c>
      <c r="R113" s="1899">
        <f t="shared" si="6"/>
        <v>674599</v>
      </c>
    </row>
    <row r="114" spans="1:18" x14ac:dyDescent="0.3">
      <c r="A114" s="1879" t="s">
        <v>3571</v>
      </c>
      <c r="B114" s="1460"/>
      <c r="C114" s="1459">
        <v>24190</v>
      </c>
      <c r="D114" s="1459">
        <v>17700</v>
      </c>
      <c r="E114" s="1894">
        <v>6490</v>
      </c>
      <c r="O114" s="1541">
        <f t="shared" si="6"/>
        <v>0</v>
      </c>
      <c r="P114" s="1541">
        <f t="shared" si="6"/>
        <v>24190</v>
      </c>
      <c r="Q114" s="1541">
        <f t="shared" si="6"/>
        <v>17700</v>
      </c>
      <c r="R114" s="1899">
        <f t="shared" si="6"/>
        <v>6490</v>
      </c>
    </row>
    <row r="115" spans="1:18" x14ac:dyDescent="0.3">
      <c r="A115" s="1878" t="s">
        <v>3572</v>
      </c>
      <c r="B115" s="1460"/>
      <c r="C115" s="1459">
        <v>2242000</v>
      </c>
      <c r="D115" s="1459">
        <v>1120999</v>
      </c>
      <c r="E115" s="1894">
        <v>1121001</v>
      </c>
      <c r="O115" s="1541">
        <f t="shared" si="6"/>
        <v>0</v>
      </c>
      <c r="P115" s="1541">
        <f t="shared" si="6"/>
        <v>2242000</v>
      </c>
      <c r="Q115" s="1541">
        <f t="shared" si="6"/>
        <v>1120999</v>
      </c>
      <c r="R115" s="1899">
        <f t="shared" si="6"/>
        <v>1121001</v>
      </c>
    </row>
    <row r="116" spans="1:18" x14ac:dyDescent="0.3">
      <c r="A116" s="1855" t="s">
        <v>3670</v>
      </c>
      <c r="B116" s="1460"/>
      <c r="C116" s="1459">
        <v>83000</v>
      </c>
      <c r="D116" s="1459">
        <v>73000</v>
      </c>
      <c r="E116" s="1894">
        <v>10000</v>
      </c>
      <c r="H116" s="1855" t="s">
        <v>3670</v>
      </c>
      <c r="I116" s="1460"/>
      <c r="J116" s="1462"/>
      <c r="K116" s="1459">
        <v>45000</v>
      </c>
      <c r="L116" s="1468">
        <v>-45000</v>
      </c>
      <c r="O116" s="1541">
        <f t="shared" si="6"/>
        <v>0</v>
      </c>
      <c r="P116" s="1541">
        <f t="shared" si="6"/>
        <v>83000</v>
      </c>
      <c r="Q116" s="1541">
        <f t="shared" si="6"/>
        <v>118000</v>
      </c>
      <c r="R116" s="1899">
        <f t="shared" si="6"/>
        <v>-35000</v>
      </c>
    </row>
    <row r="117" spans="1:18" x14ac:dyDescent="0.3">
      <c r="A117" s="1879" t="s">
        <v>3573</v>
      </c>
      <c r="B117" s="1460"/>
      <c r="C117" s="1459">
        <v>18349</v>
      </c>
      <c r="D117" s="1459">
        <v>18349</v>
      </c>
      <c r="E117" s="1460"/>
      <c r="O117" s="1541">
        <f t="shared" si="6"/>
        <v>0</v>
      </c>
      <c r="P117" s="1541">
        <f t="shared" si="6"/>
        <v>18349</v>
      </c>
      <c r="Q117" s="1541">
        <f t="shared" si="6"/>
        <v>18349</v>
      </c>
      <c r="R117" s="1899">
        <f t="shared" si="6"/>
        <v>0</v>
      </c>
    </row>
    <row r="118" spans="1:18" x14ac:dyDescent="0.3">
      <c r="A118" s="1879" t="s">
        <v>3574</v>
      </c>
      <c r="B118" s="1460"/>
      <c r="C118" s="1459">
        <v>887360</v>
      </c>
      <c r="D118" s="1459">
        <v>489700</v>
      </c>
      <c r="E118" s="1894">
        <v>397660</v>
      </c>
      <c r="O118" s="1541">
        <f t="shared" si="6"/>
        <v>0</v>
      </c>
      <c r="P118" s="1541">
        <f t="shared" si="6"/>
        <v>887360</v>
      </c>
      <c r="Q118" s="1541">
        <f t="shared" si="6"/>
        <v>489700</v>
      </c>
      <c r="R118" s="1899">
        <f t="shared" si="6"/>
        <v>397660</v>
      </c>
    </row>
    <row r="119" spans="1:18" x14ac:dyDescent="0.3">
      <c r="A119" s="1878" t="s">
        <v>3671</v>
      </c>
      <c r="B119" s="1460"/>
      <c r="C119" s="1459">
        <v>3097500</v>
      </c>
      <c r="D119" s="1459">
        <v>1858500</v>
      </c>
      <c r="E119" s="1894">
        <v>1239000</v>
      </c>
      <c r="H119" s="1878" t="s">
        <v>3671</v>
      </c>
      <c r="I119" s="1460"/>
      <c r="J119" s="1462"/>
      <c r="K119" s="1459">
        <v>619500</v>
      </c>
      <c r="L119" s="1468">
        <v>-619500</v>
      </c>
      <c r="O119" s="1541">
        <f t="shared" si="6"/>
        <v>0</v>
      </c>
      <c r="P119" s="1541">
        <f t="shared" si="6"/>
        <v>3097500</v>
      </c>
      <c r="Q119" s="1541">
        <f t="shared" si="6"/>
        <v>2478000</v>
      </c>
      <c r="R119" s="1899">
        <f t="shared" si="6"/>
        <v>619500</v>
      </c>
    </row>
    <row r="120" spans="1:18" x14ac:dyDescent="0.3">
      <c r="A120" s="1855" t="s">
        <v>3575</v>
      </c>
      <c r="B120" s="1460"/>
      <c r="C120" s="1459">
        <v>74250</v>
      </c>
      <c r="D120" s="1459">
        <v>74250</v>
      </c>
      <c r="E120" s="1460"/>
      <c r="O120" s="1541">
        <f t="shared" si="6"/>
        <v>0</v>
      </c>
      <c r="P120" s="1541">
        <f t="shared" si="6"/>
        <v>74250</v>
      </c>
      <c r="Q120" s="1541">
        <f t="shared" si="6"/>
        <v>74250</v>
      </c>
      <c r="R120" s="1899">
        <f t="shared" si="6"/>
        <v>0</v>
      </c>
    </row>
    <row r="121" spans="1:18" x14ac:dyDescent="0.3">
      <c r="A121" s="1878" t="s">
        <v>3576</v>
      </c>
      <c r="B121" s="1460"/>
      <c r="C121" s="1459">
        <v>20000</v>
      </c>
      <c r="D121" s="1459">
        <v>20000</v>
      </c>
      <c r="E121" s="1460"/>
      <c r="O121" s="1541">
        <f t="shared" si="6"/>
        <v>0</v>
      </c>
      <c r="P121" s="1541">
        <f t="shared" si="6"/>
        <v>20000</v>
      </c>
      <c r="Q121" s="1541">
        <f t="shared" si="6"/>
        <v>20000</v>
      </c>
      <c r="R121" s="1899">
        <f t="shared" si="6"/>
        <v>0</v>
      </c>
    </row>
    <row r="122" spans="1:18" x14ac:dyDescent="0.3">
      <c r="A122" s="1878" t="s">
        <v>3577</v>
      </c>
      <c r="B122" s="1460"/>
      <c r="C122" s="1459">
        <v>45430</v>
      </c>
      <c r="D122" s="1459">
        <v>45430</v>
      </c>
      <c r="E122" s="1460"/>
      <c r="O122" s="1541">
        <f t="shared" si="6"/>
        <v>0</v>
      </c>
      <c r="P122" s="1541">
        <f t="shared" si="6"/>
        <v>45430</v>
      </c>
      <c r="Q122" s="1541">
        <f t="shared" si="6"/>
        <v>45430</v>
      </c>
      <c r="R122" s="1899">
        <f t="shared" si="6"/>
        <v>0</v>
      </c>
    </row>
    <row r="123" spans="1:18" x14ac:dyDescent="0.3">
      <c r="A123" s="1878" t="s">
        <v>3578</v>
      </c>
      <c r="B123" s="1460"/>
      <c r="C123" s="1459">
        <v>2380578.7999999998</v>
      </c>
      <c r="D123" s="1459">
        <v>2104730</v>
      </c>
      <c r="E123" s="1894">
        <v>275848.8</v>
      </c>
      <c r="O123" s="1541">
        <f t="shared" si="6"/>
        <v>0</v>
      </c>
      <c r="P123" s="1541">
        <f t="shared" si="6"/>
        <v>2380578.7999999998</v>
      </c>
      <c r="Q123" s="1541">
        <f t="shared" si="6"/>
        <v>2104730</v>
      </c>
      <c r="R123" s="1899">
        <f t="shared" si="6"/>
        <v>275848.8</v>
      </c>
    </row>
    <row r="124" spans="1:18" x14ac:dyDescent="0.3">
      <c r="A124" s="1879" t="s">
        <v>3579</v>
      </c>
      <c r="B124" s="1460"/>
      <c r="C124" s="1459">
        <v>1439774</v>
      </c>
      <c r="D124" s="1459">
        <v>719887.07</v>
      </c>
      <c r="E124" s="1894">
        <v>719886.93</v>
      </c>
      <c r="O124" s="1541">
        <f t="shared" si="6"/>
        <v>0</v>
      </c>
      <c r="P124" s="1541">
        <f t="shared" si="6"/>
        <v>1439774</v>
      </c>
      <c r="Q124" s="1541">
        <f t="shared" si="6"/>
        <v>719887.07</v>
      </c>
      <c r="R124" s="1899">
        <f t="shared" si="6"/>
        <v>719886.93</v>
      </c>
    </row>
    <row r="125" spans="1:18" x14ac:dyDescent="0.3">
      <c r="A125" s="1878" t="s">
        <v>3580</v>
      </c>
      <c r="B125" s="1460"/>
      <c r="C125" s="1459">
        <v>39170</v>
      </c>
      <c r="D125" s="1459">
        <v>39176</v>
      </c>
      <c r="E125" s="1468">
        <v>-6</v>
      </c>
      <c r="O125" s="1541">
        <f t="shared" si="6"/>
        <v>0</v>
      </c>
      <c r="P125" s="1541">
        <f t="shared" si="6"/>
        <v>39170</v>
      </c>
      <c r="Q125" s="1541">
        <f t="shared" si="6"/>
        <v>39176</v>
      </c>
      <c r="R125" s="1899">
        <f t="shared" si="6"/>
        <v>-6</v>
      </c>
    </row>
    <row r="126" spans="1:18" x14ac:dyDescent="0.3">
      <c r="A126" s="1878" t="s">
        <v>3581</v>
      </c>
      <c r="B126" s="1460"/>
      <c r="C126" s="1459">
        <v>257635</v>
      </c>
      <c r="D126" s="1459">
        <v>257635</v>
      </c>
      <c r="E126" s="1460"/>
      <c r="O126" s="1541">
        <f t="shared" si="6"/>
        <v>0</v>
      </c>
      <c r="P126" s="1541">
        <f t="shared" si="6"/>
        <v>257635</v>
      </c>
      <c r="Q126" s="1541">
        <f t="shared" si="6"/>
        <v>257635</v>
      </c>
      <c r="R126" s="1899">
        <f t="shared" si="6"/>
        <v>0</v>
      </c>
    </row>
    <row r="127" spans="1:18" x14ac:dyDescent="0.3">
      <c r="A127" s="1878" t="s">
        <v>3582</v>
      </c>
      <c r="B127" s="1460"/>
      <c r="C127" s="1459">
        <v>127600</v>
      </c>
      <c r="D127" s="1462"/>
      <c r="E127" s="1894">
        <v>127600</v>
      </c>
      <c r="O127" s="1541">
        <f t="shared" si="6"/>
        <v>0</v>
      </c>
      <c r="P127" s="1541">
        <f t="shared" si="6"/>
        <v>127600</v>
      </c>
      <c r="Q127" s="1541">
        <f t="shared" si="6"/>
        <v>0</v>
      </c>
      <c r="R127" s="1899">
        <f t="shared" si="6"/>
        <v>127600</v>
      </c>
    </row>
    <row r="128" spans="1:18" x14ac:dyDescent="0.3">
      <c r="A128" s="1878" t="s">
        <v>3583</v>
      </c>
      <c r="B128" s="1460"/>
      <c r="C128" s="1459">
        <v>52156</v>
      </c>
      <c r="D128" s="1459">
        <v>52156</v>
      </c>
      <c r="E128" s="1460"/>
      <c r="O128" s="1541">
        <f t="shared" si="6"/>
        <v>0</v>
      </c>
      <c r="P128" s="1541">
        <f t="shared" si="6"/>
        <v>52156</v>
      </c>
      <c r="Q128" s="1541">
        <f t="shared" si="6"/>
        <v>52156</v>
      </c>
      <c r="R128" s="1899">
        <f t="shared" si="6"/>
        <v>0</v>
      </c>
    </row>
    <row r="129" spans="1:18" x14ac:dyDescent="0.3">
      <c r="A129" s="1878" t="s">
        <v>3672</v>
      </c>
      <c r="B129" s="1460"/>
      <c r="C129" s="1459">
        <v>16508000</v>
      </c>
      <c r="D129" s="1459">
        <v>8496000</v>
      </c>
      <c r="E129" s="1894">
        <v>8012000</v>
      </c>
      <c r="H129" s="1878" t="s">
        <v>3672</v>
      </c>
      <c r="I129" s="1460"/>
      <c r="J129" s="1462"/>
      <c r="K129" s="1459">
        <v>8732000</v>
      </c>
      <c r="L129" s="1468">
        <v>-8732000</v>
      </c>
      <c r="O129" s="1541">
        <f t="shared" si="6"/>
        <v>0</v>
      </c>
      <c r="P129" s="1541">
        <f t="shared" si="6"/>
        <v>16508000</v>
      </c>
      <c r="Q129" s="1541">
        <f t="shared" si="6"/>
        <v>17228000</v>
      </c>
      <c r="R129" s="1899">
        <f t="shared" si="6"/>
        <v>-720000</v>
      </c>
    </row>
    <row r="130" spans="1:18" x14ac:dyDescent="0.3">
      <c r="A130" s="1878" t="s">
        <v>3584</v>
      </c>
      <c r="B130" s="1460"/>
      <c r="C130" s="1459">
        <v>6655790</v>
      </c>
      <c r="D130" s="1459">
        <v>4191360</v>
      </c>
      <c r="E130" s="1894">
        <v>2464430</v>
      </c>
      <c r="O130" s="1541">
        <f t="shared" si="6"/>
        <v>0</v>
      </c>
      <c r="P130" s="1541">
        <f t="shared" si="6"/>
        <v>6655790</v>
      </c>
      <c r="Q130" s="1541">
        <f t="shared" si="6"/>
        <v>4191360</v>
      </c>
      <c r="R130" s="1899">
        <f t="shared" si="6"/>
        <v>2464430</v>
      </c>
    </row>
    <row r="131" spans="1:18" x14ac:dyDescent="0.3">
      <c r="A131" s="1878" t="s">
        <v>3673</v>
      </c>
      <c r="B131" s="1460"/>
      <c r="C131" s="1459">
        <v>15568000</v>
      </c>
      <c r="D131" s="1459">
        <v>7788000</v>
      </c>
      <c r="E131" s="1894">
        <v>7780000</v>
      </c>
      <c r="H131" s="1878" t="s">
        <v>3673</v>
      </c>
      <c r="I131" s="1460"/>
      <c r="J131" s="1462"/>
      <c r="K131" s="1459">
        <v>7788000</v>
      </c>
      <c r="L131" s="1468">
        <v>-7788000</v>
      </c>
      <c r="O131" s="1541">
        <f t="shared" si="6"/>
        <v>0</v>
      </c>
      <c r="P131" s="1541">
        <f t="shared" si="6"/>
        <v>15568000</v>
      </c>
      <c r="Q131" s="1541">
        <f t="shared" si="6"/>
        <v>15576000</v>
      </c>
      <c r="R131" s="1899">
        <f t="shared" si="6"/>
        <v>-8000</v>
      </c>
    </row>
    <row r="132" spans="1:18" x14ac:dyDescent="0.3">
      <c r="A132" s="1852" t="s">
        <v>3585</v>
      </c>
      <c r="B132" s="1460"/>
      <c r="C132" s="1459">
        <v>10000</v>
      </c>
      <c r="D132" s="1462"/>
      <c r="E132" s="1894">
        <v>10000</v>
      </c>
      <c r="O132" s="1541">
        <f t="shared" si="6"/>
        <v>0</v>
      </c>
      <c r="P132" s="1541">
        <f t="shared" si="6"/>
        <v>10000</v>
      </c>
      <c r="Q132" s="1541">
        <f t="shared" si="6"/>
        <v>0</v>
      </c>
      <c r="R132" s="1899">
        <f t="shared" si="6"/>
        <v>10000</v>
      </c>
    </row>
    <row r="133" spans="1:18" x14ac:dyDescent="0.3">
      <c r="A133" s="1878" t="s">
        <v>3586</v>
      </c>
      <c r="B133" s="1460"/>
      <c r="C133" s="1459">
        <v>62650</v>
      </c>
      <c r="D133" s="1459">
        <v>44550</v>
      </c>
      <c r="E133" s="1894">
        <v>18100</v>
      </c>
      <c r="O133" s="1541">
        <f t="shared" si="6"/>
        <v>0</v>
      </c>
      <c r="P133" s="1541">
        <f t="shared" si="6"/>
        <v>62650</v>
      </c>
      <c r="Q133" s="1541">
        <f t="shared" si="6"/>
        <v>44550</v>
      </c>
      <c r="R133" s="1899">
        <f t="shared" si="6"/>
        <v>18100</v>
      </c>
    </row>
    <row r="134" spans="1:18" x14ac:dyDescent="0.3">
      <c r="A134" s="1878" t="s">
        <v>3587</v>
      </c>
      <c r="B134" s="1460"/>
      <c r="C134" s="1459">
        <v>35200</v>
      </c>
      <c r="D134" s="1459">
        <v>2549</v>
      </c>
      <c r="E134" s="1894">
        <v>32651</v>
      </c>
      <c r="O134" s="1541">
        <f t="shared" si="6"/>
        <v>0</v>
      </c>
      <c r="P134" s="1541">
        <f t="shared" si="6"/>
        <v>35200</v>
      </c>
      <c r="Q134" s="1541">
        <f t="shared" si="6"/>
        <v>2549</v>
      </c>
      <c r="R134" s="1899">
        <f t="shared" si="6"/>
        <v>32651</v>
      </c>
    </row>
    <row r="135" spans="1:18" x14ac:dyDescent="0.3">
      <c r="A135" s="1878" t="s">
        <v>3588</v>
      </c>
      <c r="B135" s="1460"/>
      <c r="C135" s="1459">
        <v>77054</v>
      </c>
      <c r="D135" s="1459">
        <v>40651</v>
      </c>
      <c r="E135" s="1894">
        <v>36403</v>
      </c>
      <c r="O135" s="1541">
        <f t="shared" si="6"/>
        <v>0</v>
      </c>
      <c r="P135" s="1541">
        <f t="shared" si="6"/>
        <v>77054</v>
      </c>
      <c r="Q135" s="1541">
        <f t="shared" si="6"/>
        <v>40651</v>
      </c>
      <c r="R135" s="1899">
        <f t="shared" si="6"/>
        <v>36403</v>
      </c>
    </row>
    <row r="136" spans="1:18" x14ac:dyDescent="0.3">
      <c r="A136" s="1878" t="s">
        <v>3589</v>
      </c>
      <c r="B136" s="1460"/>
      <c r="C136" s="1459">
        <v>59400</v>
      </c>
      <c r="D136" s="1459">
        <v>59400</v>
      </c>
      <c r="E136" s="1460"/>
      <c r="O136" s="1541">
        <f t="shared" si="6"/>
        <v>0</v>
      </c>
      <c r="P136" s="1541">
        <f t="shared" si="6"/>
        <v>59400</v>
      </c>
      <c r="Q136" s="1541">
        <f t="shared" si="6"/>
        <v>59400</v>
      </c>
      <c r="R136" s="1899">
        <f t="shared" si="6"/>
        <v>0</v>
      </c>
    </row>
    <row r="137" spans="1:18" x14ac:dyDescent="0.3">
      <c r="A137" s="1878" t="s">
        <v>3590</v>
      </c>
      <c r="B137" s="1460"/>
      <c r="C137" s="1459">
        <v>400000</v>
      </c>
      <c r="D137" s="1462"/>
      <c r="E137" s="1894">
        <v>400000</v>
      </c>
      <c r="O137" s="1541">
        <f t="shared" si="6"/>
        <v>0</v>
      </c>
      <c r="P137" s="1541">
        <f t="shared" si="6"/>
        <v>400000</v>
      </c>
      <c r="Q137" s="1541">
        <f t="shared" si="6"/>
        <v>0</v>
      </c>
      <c r="R137" s="1899">
        <f t="shared" si="6"/>
        <v>400000</v>
      </c>
    </row>
    <row r="138" spans="1:18" x14ac:dyDescent="0.3">
      <c r="A138" s="1878" t="s">
        <v>3591</v>
      </c>
      <c r="B138" s="1460"/>
      <c r="C138" s="1459">
        <v>151000</v>
      </c>
      <c r="D138" s="1459">
        <v>76000</v>
      </c>
      <c r="E138" s="1894">
        <v>75000</v>
      </c>
      <c r="O138" s="1541">
        <f t="shared" si="6"/>
        <v>0</v>
      </c>
      <c r="P138" s="1541">
        <f t="shared" si="6"/>
        <v>151000</v>
      </c>
      <c r="Q138" s="1541">
        <f t="shared" si="6"/>
        <v>76000</v>
      </c>
      <c r="R138" s="1899">
        <f t="shared" si="6"/>
        <v>75000</v>
      </c>
    </row>
    <row r="139" spans="1:18" x14ac:dyDescent="0.3">
      <c r="A139" s="1878" t="s">
        <v>3592</v>
      </c>
      <c r="B139" s="1460"/>
      <c r="C139" s="1459">
        <v>483800</v>
      </c>
      <c r="D139" s="1459">
        <v>483800</v>
      </c>
      <c r="E139" s="1460"/>
      <c r="O139" s="1541">
        <f t="shared" si="6"/>
        <v>0</v>
      </c>
      <c r="P139" s="1541">
        <f t="shared" si="6"/>
        <v>483800</v>
      </c>
      <c r="Q139" s="1541">
        <f t="shared" si="6"/>
        <v>483800</v>
      </c>
      <c r="R139" s="1899">
        <f t="shared" si="6"/>
        <v>0</v>
      </c>
    </row>
    <row r="140" spans="1:18" x14ac:dyDescent="0.3">
      <c r="A140" s="1878" t="s">
        <v>3593</v>
      </c>
      <c r="B140" s="1460"/>
      <c r="C140" s="1459">
        <v>21000</v>
      </c>
      <c r="D140" s="1459">
        <v>21000</v>
      </c>
      <c r="E140" s="1460"/>
      <c r="O140" s="1541">
        <f t="shared" si="6"/>
        <v>0</v>
      </c>
      <c r="P140" s="1541">
        <f t="shared" si="6"/>
        <v>21000</v>
      </c>
      <c r="Q140" s="1541">
        <f t="shared" si="6"/>
        <v>21000</v>
      </c>
      <c r="R140" s="1899">
        <f t="shared" si="6"/>
        <v>0</v>
      </c>
    </row>
    <row r="141" spans="1:18" x14ac:dyDescent="0.3">
      <c r="A141" s="1879" t="s">
        <v>3594</v>
      </c>
      <c r="B141" s="1460"/>
      <c r="C141" s="1459">
        <v>100300</v>
      </c>
      <c r="D141" s="1459">
        <v>76700</v>
      </c>
      <c r="E141" s="1894">
        <v>23600</v>
      </c>
      <c r="O141" s="1541">
        <f t="shared" si="6"/>
        <v>0</v>
      </c>
      <c r="P141" s="1541">
        <f t="shared" si="6"/>
        <v>100300</v>
      </c>
      <c r="Q141" s="1541">
        <f t="shared" si="6"/>
        <v>76700</v>
      </c>
      <c r="R141" s="1899">
        <f t="shared" si="6"/>
        <v>23600</v>
      </c>
    </row>
    <row r="142" spans="1:18" x14ac:dyDescent="0.3">
      <c r="A142" s="1855" t="s">
        <v>3595</v>
      </c>
      <c r="B142" s="1460"/>
      <c r="C142" s="1459">
        <v>7300</v>
      </c>
      <c r="D142" s="1459">
        <v>7300</v>
      </c>
      <c r="E142" s="1460"/>
      <c r="O142" s="1541">
        <f t="shared" si="6"/>
        <v>0</v>
      </c>
      <c r="P142" s="1541">
        <f t="shared" si="6"/>
        <v>7300</v>
      </c>
      <c r="Q142" s="1541">
        <f t="shared" si="6"/>
        <v>7300</v>
      </c>
      <c r="R142" s="1899">
        <f t="shared" si="6"/>
        <v>0</v>
      </c>
    </row>
    <row r="143" spans="1:18" x14ac:dyDescent="0.3">
      <c r="A143" s="1878" t="s">
        <v>3596</v>
      </c>
      <c r="B143" s="1460"/>
      <c r="C143" s="1459">
        <v>17700</v>
      </c>
      <c r="D143" s="1459">
        <v>17700</v>
      </c>
      <c r="E143" s="1460"/>
      <c r="O143" s="1541">
        <f t="shared" si="6"/>
        <v>0</v>
      </c>
      <c r="P143" s="1541">
        <f t="shared" si="6"/>
        <v>17700</v>
      </c>
      <c r="Q143" s="1541">
        <f t="shared" si="6"/>
        <v>17700</v>
      </c>
      <c r="R143" s="1899">
        <f t="shared" si="6"/>
        <v>0</v>
      </c>
    </row>
    <row r="144" spans="1:18" x14ac:dyDescent="0.3">
      <c r="A144" s="1879" t="s">
        <v>3597</v>
      </c>
      <c r="B144" s="1460"/>
      <c r="C144" s="1459">
        <v>19470</v>
      </c>
      <c r="D144" s="1459">
        <v>19470</v>
      </c>
      <c r="E144" s="1460"/>
      <c r="O144" s="1541">
        <f t="shared" si="6"/>
        <v>0</v>
      </c>
      <c r="P144" s="1541">
        <f t="shared" si="6"/>
        <v>19470</v>
      </c>
      <c r="Q144" s="1541">
        <f t="shared" si="6"/>
        <v>19470</v>
      </c>
      <c r="R144" s="1899">
        <f t="shared" si="6"/>
        <v>0</v>
      </c>
    </row>
    <row r="145" spans="1:18" x14ac:dyDescent="0.3">
      <c r="A145" s="1879" t="s">
        <v>3598</v>
      </c>
      <c r="B145" s="1460"/>
      <c r="C145" s="1459">
        <v>384620</v>
      </c>
      <c r="D145" s="1459">
        <v>192310</v>
      </c>
      <c r="E145" s="1894">
        <v>192310</v>
      </c>
      <c r="O145" s="1541">
        <f t="shared" si="6"/>
        <v>0</v>
      </c>
      <c r="P145" s="1541">
        <f t="shared" si="6"/>
        <v>384620</v>
      </c>
      <c r="Q145" s="1541">
        <f t="shared" si="6"/>
        <v>192310</v>
      </c>
      <c r="R145" s="1899">
        <f t="shared" si="6"/>
        <v>192310</v>
      </c>
    </row>
    <row r="146" spans="1:18" x14ac:dyDescent="0.3">
      <c r="A146" s="1879" t="s">
        <v>3599</v>
      </c>
      <c r="B146" s="1460"/>
      <c r="C146" s="1459">
        <v>13500</v>
      </c>
      <c r="D146" s="1459">
        <v>13500</v>
      </c>
      <c r="E146" s="1460"/>
      <c r="O146" s="1541">
        <f t="shared" si="6"/>
        <v>0</v>
      </c>
      <c r="P146" s="1541">
        <f t="shared" si="6"/>
        <v>13500</v>
      </c>
      <c r="Q146" s="1541">
        <f t="shared" si="6"/>
        <v>13500</v>
      </c>
      <c r="R146" s="1899">
        <f t="shared" si="6"/>
        <v>0</v>
      </c>
    </row>
    <row r="147" spans="1:18" x14ac:dyDescent="0.3">
      <c r="A147" s="1878" t="s">
        <v>3600</v>
      </c>
      <c r="B147" s="1460"/>
      <c r="C147" s="1459">
        <v>731600</v>
      </c>
      <c r="D147" s="1459">
        <v>731600</v>
      </c>
      <c r="E147" s="1460"/>
      <c r="O147" s="1541">
        <f t="shared" si="6"/>
        <v>0</v>
      </c>
      <c r="P147" s="1541">
        <f t="shared" si="6"/>
        <v>731600</v>
      </c>
      <c r="Q147" s="1541">
        <f t="shared" si="6"/>
        <v>731600</v>
      </c>
      <c r="R147" s="1899">
        <f t="shared" si="6"/>
        <v>0</v>
      </c>
    </row>
    <row r="148" spans="1:18" x14ac:dyDescent="0.3">
      <c r="A148" s="1879" t="s">
        <v>3601</v>
      </c>
      <c r="B148" s="1460"/>
      <c r="C148" s="1459">
        <v>2313185</v>
      </c>
      <c r="D148" s="1459">
        <v>2313185</v>
      </c>
      <c r="E148" s="1460"/>
      <c r="O148" s="1541">
        <f t="shared" si="6"/>
        <v>0</v>
      </c>
      <c r="P148" s="1541">
        <f t="shared" si="6"/>
        <v>2313185</v>
      </c>
      <c r="Q148" s="1541">
        <f t="shared" si="6"/>
        <v>2313185</v>
      </c>
      <c r="R148" s="1899">
        <f t="shared" si="6"/>
        <v>0</v>
      </c>
    </row>
    <row r="149" spans="1:18" x14ac:dyDescent="0.3">
      <c r="A149" s="1878" t="s">
        <v>3602</v>
      </c>
      <c r="B149" s="1460"/>
      <c r="C149" s="1459">
        <v>4637279</v>
      </c>
      <c r="D149" s="1459">
        <v>2411279</v>
      </c>
      <c r="E149" s="1894">
        <v>2226000</v>
      </c>
      <c r="O149" s="1541">
        <f t="shared" si="6"/>
        <v>0</v>
      </c>
      <c r="P149" s="1541">
        <f t="shared" si="6"/>
        <v>4637279</v>
      </c>
      <c r="Q149" s="1541">
        <f t="shared" si="6"/>
        <v>2411279</v>
      </c>
      <c r="R149" s="1899">
        <f t="shared" si="6"/>
        <v>2226000</v>
      </c>
    </row>
    <row r="150" spans="1:18" x14ac:dyDescent="0.3">
      <c r="A150" s="1879" t="s">
        <v>3603</v>
      </c>
      <c r="B150" s="1460"/>
      <c r="C150" s="1459">
        <v>4900</v>
      </c>
      <c r="D150" s="1459">
        <v>4900</v>
      </c>
      <c r="E150" s="1460"/>
      <c r="O150" s="1541">
        <f t="shared" si="6"/>
        <v>0</v>
      </c>
      <c r="P150" s="1541">
        <f t="shared" si="6"/>
        <v>4900</v>
      </c>
      <c r="Q150" s="1541">
        <f t="shared" si="6"/>
        <v>4900</v>
      </c>
      <c r="R150" s="1899">
        <f t="shared" si="6"/>
        <v>0</v>
      </c>
    </row>
    <row r="151" spans="1:18" x14ac:dyDescent="0.3">
      <c r="A151" s="1878" t="s">
        <v>3604</v>
      </c>
      <c r="B151" s="1460"/>
      <c r="C151" s="1459">
        <v>17700</v>
      </c>
      <c r="D151" s="1459">
        <v>17700</v>
      </c>
      <c r="E151" s="1460"/>
      <c r="O151" s="1541">
        <f t="shared" si="6"/>
        <v>0</v>
      </c>
      <c r="P151" s="1541">
        <f t="shared" si="6"/>
        <v>17700</v>
      </c>
      <c r="Q151" s="1541">
        <f t="shared" si="6"/>
        <v>17700</v>
      </c>
      <c r="R151" s="1899">
        <f t="shared" si="6"/>
        <v>0</v>
      </c>
    </row>
    <row r="152" spans="1:18" x14ac:dyDescent="0.3">
      <c r="A152" s="1878" t="s">
        <v>3605</v>
      </c>
      <c r="B152" s="1460"/>
      <c r="C152" s="1459">
        <v>14225</v>
      </c>
      <c r="D152" s="1459">
        <v>14225</v>
      </c>
      <c r="E152" s="1460"/>
      <c r="O152" s="1541">
        <f t="shared" si="6"/>
        <v>0</v>
      </c>
      <c r="P152" s="1541">
        <f t="shared" si="6"/>
        <v>14225</v>
      </c>
      <c r="Q152" s="1541">
        <f t="shared" si="6"/>
        <v>14225</v>
      </c>
      <c r="R152" s="1899">
        <f t="shared" si="6"/>
        <v>0</v>
      </c>
    </row>
    <row r="153" spans="1:18" x14ac:dyDescent="0.3">
      <c r="A153" s="1855" t="s">
        <v>3606</v>
      </c>
      <c r="B153" s="1460"/>
      <c r="C153" s="1459">
        <v>122600</v>
      </c>
      <c r="D153" s="1462"/>
      <c r="E153" s="1894">
        <v>122600</v>
      </c>
      <c r="O153" s="1541">
        <f t="shared" si="6"/>
        <v>0</v>
      </c>
      <c r="P153" s="1541">
        <f t="shared" si="6"/>
        <v>122600</v>
      </c>
      <c r="Q153" s="1541">
        <f t="shared" si="6"/>
        <v>0</v>
      </c>
      <c r="R153" s="1899">
        <f t="shared" si="6"/>
        <v>122600</v>
      </c>
    </row>
    <row r="154" spans="1:18" x14ac:dyDescent="0.3">
      <c r="A154" s="1878" t="s">
        <v>3716</v>
      </c>
      <c r="B154" s="1460"/>
      <c r="C154" s="1459">
        <v>14840.4</v>
      </c>
      <c r="D154" s="1462"/>
      <c r="E154" s="1894">
        <v>14840.4</v>
      </c>
      <c r="O154" s="1541">
        <f t="shared" si="6"/>
        <v>0</v>
      </c>
      <c r="P154" s="1541">
        <f t="shared" si="6"/>
        <v>14840.4</v>
      </c>
      <c r="Q154" s="1541">
        <f t="shared" si="6"/>
        <v>0</v>
      </c>
      <c r="R154" s="1899">
        <f t="shared" si="6"/>
        <v>14840.4</v>
      </c>
    </row>
    <row r="155" spans="1:18" x14ac:dyDescent="0.3">
      <c r="A155" s="1878" t="s">
        <v>3607</v>
      </c>
      <c r="B155" s="1460"/>
      <c r="C155" s="1459">
        <v>135000</v>
      </c>
      <c r="D155" s="1459">
        <v>135000</v>
      </c>
      <c r="E155" s="1460"/>
      <c r="O155" s="1541">
        <f t="shared" si="6"/>
        <v>0</v>
      </c>
      <c r="P155" s="1541">
        <f t="shared" si="6"/>
        <v>135000</v>
      </c>
      <c r="Q155" s="1541">
        <f t="shared" si="6"/>
        <v>135000</v>
      </c>
      <c r="R155" s="1899">
        <f t="shared" si="6"/>
        <v>0</v>
      </c>
    </row>
    <row r="156" spans="1:18" x14ac:dyDescent="0.3">
      <c r="A156" s="1878" t="s">
        <v>3608</v>
      </c>
      <c r="B156" s="1460"/>
      <c r="C156" s="1459">
        <v>2006708</v>
      </c>
      <c r="D156" s="1459">
        <v>1003354</v>
      </c>
      <c r="E156" s="1894">
        <v>1003354</v>
      </c>
      <c r="O156" s="1541">
        <f t="shared" si="6"/>
        <v>0</v>
      </c>
      <c r="P156" s="1541">
        <f t="shared" si="6"/>
        <v>2006708</v>
      </c>
      <c r="Q156" s="1541">
        <f t="shared" si="6"/>
        <v>1003354</v>
      </c>
      <c r="R156" s="1899">
        <f t="shared" si="6"/>
        <v>1003354</v>
      </c>
    </row>
    <row r="157" spans="1:18" x14ac:dyDescent="0.3">
      <c r="A157" s="1879" t="s">
        <v>3609</v>
      </c>
      <c r="B157" s="1460"/>
      <c r="C157" s="1459">
        <v>35881.86</v>
      </c>
      <c r="D157" s="1459">
        <v>35881.86</v>
      </c>
      <c r="E157" s="1460"/>
      <c r="O157" s="1541">
        <f t="shared" si="6"/>
        <v>0</v>
      </c>
      <c r="P157" s="1541">
        <f t="shared" si="6"/>
        <v>35881.86</v>
      </c>
      <c r="Q157" s="1541">
        <f t="shared" si="6"/>
        <v>35881.86</v>
      </c>
      <c r="R157" s="1899">
        <f t="shared" si="6"/>
        <v>0</v>
      </c>
    </row>
    <row r="158" spans="1:18" x14ac:dyDescent="0.3">
      <c r="A158" s="1878" t="s">
        <v>3674</v>
      </c>
      <c r="B158" s="1460"/>
      <c r="C158" s="1459">
        <v>22114206</v>
      </c>
      <c r="D158" s="1459">
        <v>12060603</v>
      </c>
      <c r="E158" s="1894">
        <v>10053603</v>
      </c>
      <c r="H158" s="1878" t="s">
        <v>3674</v>
      </c>
      <c r="I158" s="1460"/>
      <c r="J158" s="1462"/>
      <c r="K158" s="1459">
        <v>5073280</v>
      </c>
      <c r="L158" s="1468">
        <v>-5073280</v>
      </c>
      <c r="O158" s="1541">
        <f t="shared" si="6"/>
        <v>0</v>
      </c>
      <c r="P158" s="1541">
        <f t="shared" si="6"/>
        <v>22114206</v>
      </c>
      <c r="Q158" s="1541">
        <f t="shared" si="6"/>
        <v>17133883</v>
      </c>
      <c r="R158" s="1899">
        <f t="shared" si="6"/>
        <v>4980323</v>
      </c>
    </row>
    <row r="159" spans="1:18" x14ac:dyDescent="0.3">
      <c r="A159" s="1878" t="s">
        <v>3675</v>
      </c>
      <c r="B159" s="1460"/>
      <c r="C159" s="1459">
        <v>926595</v>
      </c>
      <c r="D159" s="1459">
        <v>503565</v>
      </c>
      <c r="E159" s="1894">
        <v>423030</v>
      </c>
      <c r="H159" s="1878" t="s">
        <v>3675</v>
      </c>
      <c r="I159" s="1460"/>
      <c r="J159" s="1462"/>
      <c r="K159" s="1459">
        <v>423030</v>
      </c>
      <c r="L159" s="1468">
        <v>-423030</v>
      </c>
      <c r="O159" s="1541">
        <f t="shared" si="6"/>
        <v>0</v>
      </c>
      <c r="P159" s="1541">
        <f t="shared" si="6"/>
        <v>926595</v>
      </c>
      <c r="Q159" s="1541">
        <f t="shared" si="6"/>
        <v>926595</v>
      </c>
      <c r="R159" s="1899">
        <f t="shared" si="6"/>
        <v>0</v>
      </c>
    </row>
    <row r="160" spans="1:18" x14ac:dyDescent="0.3">
      <c r="A160" s="1878" t="s">
        <v>3610</v>
      </c>
      <c r="B160" s="1460"/>
      <c r="C160" s="1459">
        <v>4063950</v>
      </c>
      <c r="D160" s="1459">
        <v>2429100</v>
      </c>
      <c r="E160" s="1894">
        <v>1634850</v>
      </c>
      <c r="O160" s="1541">
        <f t="shared" si="6"/>
        <v>0</v>
      </c>
      <c r="P160" s="1541">
        <f t="shared" si="6"/>
        <v>4063950</v>
      </c>
      <c r="Q160" s="1541">
        <f t="shared" si="6"/>
        <v>2429100</v>
      </c>
      <c r="R160" s="1899">
        <f t="shared" si="6"/>
        <v>1634850</v>
      </c>
    </row>
    <row r="161" spans="1:18" x14ac:dyDescent="0.3">
      <c r="A161" s="1855" t="s">
        <v>3611</v>
      </c>
      <c r="B161" s="1460"/>
      <c r="C161" s="1459">
        <v>1494187</v>
      </c>
      <c r="D161" s="1459">
        <v>717274</v>
      </c>
      <c r="E161" s="1894">
        <v>776913</v>
      </c>
      <c r="O161" s="1541">
        <f t="shared" si="6"/>
        <v>0</v>
      </c>
      <c r="P161" s="1541">
        <f t="shared" si="6"/>
        <v>1494187</v>
      </c>
      <c r="Q161" s="1541">
        <f t="shared" si="6"/>
        <v>717274</v>
      </c>
      <c r="R161" s="1899">
        <f t="shared" ref="R161:R224" si="7">E161+L161</f>
        <v>776913</v>
      </c>
    </row>
    <row r="162" spans="1:18" x14ac:dyDescent="0.3">
      <c r="A162" s="1855" t="s">
        <v>3612</v>
      </c>
      <c r="B162" s="1460"/>
      <c r="C162" s="1459">
        <v>142800</v>
      </c>
      <c r="D162" s="1459">
        <v>197000</v>
      </c>
      <c r="E162" s="1468">
        <v>-54200</v>
      </c>
      <c r="O162" s="1541">
        <f t="shared" ref="O162:Q224" si="8">B162+I162</f>
        <v>0</v>
      </c>
      <c r="P162" s="1541">
        <f t="shared" si="8"/>
        <v>142800</v>
      </c>
      <c r="Q162" s="1541">
        <f t="shared" si="8"/>
        <v>197000</v>
      </c>
      <c r="R162" s="1899">
        <f t="shared" si="7"/>
        <v>-54200</v>
      </c>
    </row>
    <row r="163" spans="1:18" x14ac:dyDescent="0.3">
      <c r="A163" s="1878" t="s">
        <v>3676</v>
      </c>
      <c r="B163" s="1460"/>
      <c r="C163" s="1459">
        <v>19016</v>
      </c>
      <c r="D163" s="1462"/>
      <c r="E163" s="1894">
        <v>19016</v>
      </c>
      <c r="H163" s="1878" t="s">
        <v>3676</v>
      </c>
      <c r="I163" s="1460"/>
      <c r="J163" s="1462"/>
      <c r="K163" s="1459">
        <v>19016</v>
      </c>
      <c r="L163" s="1468">
        <v>-19016</v>
      </c>
      <c r="O163" s="1541">
        <f t="shared" si="8"/>
        <v>0</v>
      </c>
      <c r="P163" s="1541">
        <f t="shared" si="8"/>
        <v>19016</v>
      </c>
      <c r="Q163" s="1541">
        <f t="shared" si="8"/>
        <v>19016</v>
      </c>
      <c r="R163" s="1899">
        <f t="shared" si="7"/>
        <v>0</v>
      </c>
    </row>
    <row r="164" spans="1:18" x14ac:dyDescent="0.3">
      <c r="A164" s="1878" t="s">
        <v>3677</v>
      </c>
      <c r="B164" s="1460"/>
      <c r="C164" s="1459">
        <v>206000</v>
      </c>
      <c r="D164" s="1462"/>
      <c r="E164" s="1894">
        <v>206000</v>
      </c>
      <c r="H164" s="1878" t="s">
        <v>3677</v>
      </c>
      <c r="I164" s="1460"/>
      <c r="J164" s="1462"/>
      <c r="K164" s="1459">
        <v>138000</v>
      </c>
      <c r="L164" s="1468">
        <v>-138000</v>
      </c>
      <c r="O164" s="1541">
        <f t="shared" si="8"/>
        <v>0</v>
      </c>
      <c r="P164" s="1541">
        <f t="shared" si="8"/>
        <v>206000</v>
      </c>
      <c r="Q164" s="1541">
        <f t="shared" si="8"/>
        <v>138000</v>
      </c>
      <c r="R164" s="1899">
        <f t="shared" si="7"/>
        <v>68000</v>
      </c>
    </row>
    <row r="165" spans="1:18" x14ac:dyDescent="0.3">
      <c r="A165" s="1878" t="s">
        <v>3613</v>
      </c>
      <c r="B165" s="1460"/>
      <c r="C165" s="1459">
        <v>2637772</v>
      </c>
      <c r="D165" s="1462"/>
      <c r="E165" s="1894">
        <v>2637772</v>
      </c>
      <c r="O165" s="1541">
        <f t="shared" si="8"/>
        <v>0</v>
      </c>
      <c r="P165" s="1541">
        <f t="shared" si="8"/>
        <v>2637772</v>
      </c>
      <c r="Q165" s="1541">
        <f t="shared" si="8"/>
        <v>0</v>
      </c>
      <c r="R165" s="1899">
        <f t="shared" si="7"/>
        <v>2637772</v>
      </c>
    </row>
    <row r="166" spans="1:18" x14ac:dyDescent="0.3">
      <c r="A166" s="1878" t="s">
        <v>3614</v>
      </c>
      <c r="B166" s="1460"/>
      <c r="C166" s="1459">
        <v>500818</v>
      </c>
      <c r="D166" s="1459">
        <v>333878.64</v>
      </c>
      <c r="E166" s="1894">
        <v>166939.35999999999</v>
      </c>
      <c r="O166" s="1541">
        <f t="shared" si="8"/>
        <v>0</v>
      </c>
      <c r="P166" s="1541">
        <f t="shared" si="8"/>
        <v>500818</v>
      </c>
      <c r="Q166" s="1541">
        <f t="shared" si="8"/>
        <v>333878.64</v>
      </c>
      <c r="R166" s="1899">
        <f t="shared" si="7"/>
        <v>166939.35999999999</v>
      </c>
    </row>
    <row r="167" spans="1:18" x14ac:dyDescent="0.3">
      <c r="A167" s="1878" t="s">
        <v>3615</v>
      </c>
      <c r="B167" s="1460"/>
      <c r="C167" s="1459">
        <v>17264325</v>
      </c>
      <c r="D167" s="1459">
        <v>11370290</v>
      </c>
      <c r="E167" s="1894">
        <v>5894035</v>
      </c>
      <c r="O167" s="1541">
        <f t="shared" si="8"/>
        <v>0</v>
      </c>
      <c r="P167" s="1541">
        <f t="shared" si="8"/>
        <v>17264325</v>
      </c>
      <c r="Q167" s="1541">
        <f t="shared" si="8"/>
        <v>11370290</v>
      </c>
      <c r="R167" s="1899">
        <f t="shared" si="7"/>
        <v>5894035</v>
      </c>
    </row>
    <row r="168" spans="1:18" ht="22.8" x14ac:dyDescent="0.3">
      <c r="A168" s="1880" t="s">
        <v>3617</v>
      </c>
      <c r="B168" s="1460"/>
      <c r="C168" s="1459">
        <v>528600</v>
      </c>
      <c r="D168" s="1459">
        <v>100150</v>
      </c>
      <c r="E168" s="1894">
        <v>428450</v>
      </c>
      <c r="H168" s="1878" t="s">
        <v>3616</v>
      </c>
      <c r="I168" s="1460"/>
      <c r="J168" s="1462"/>
      <c r="K168" s="1459">
        <v>278300</v>
      </c>
      <c r="L168" s="1468">
        <v>-278300</v>
      </c>
      <c r="O168" s="1541">
        <f t="shared" si="8"/>
        <v>0</v>
      </c>
      <c r="P168" s="1541">
        <f t="shared" si="8"/>
        <v>528600</v>
      </c>
      <c r="Q168" s="1541">
        <f t="shared" si="8"/>
        <v>378450</v>
      </c>
      <c r="R168" s="1899">
        <f t="shared" si="7"/>
        <v>150150</v>
      </c>
    </row>
    <row r="169" spans="1:18" x14ac:dyDescent="0.3">
      <c r="A169" s="1855" t="s">
        <v>3618</v>
      </c>
      <c r="B169" s="1460"/>
      <c r="C169" s="1459">
        <v>24780000</v>
      </c>
      <c r="D169" s="1459">
        <v>12390000</v>
      </c>
      <c r="E169" s="1894">
        <v>12390000</v>
      </c>
      <c r="O169" s="1541">
        <f t="shared" si="8"/>
        <v>0</v>
      </c>
      <c r="P169" s="1541">
        <f t="shared" si="8"/>
        <v>24780000</v>
      </c>
      <c r="Q169" s="1541">
        <f t="shared" si="8"/>
        <v>12390000</v>
      </c>
      <c r="R169" s="1899">
        <f t="shared" si="7"/>
        <v>12390000</v>
      </c>
    </row>
    <row r="170" spans="1:18" x14ac:dyDescent="0.3">
      <c r="A170" s="1878" t="s">
        <v>3619</v>
      </c>
      <c r="B170" s="1460"/>
      <c r="C170" s="1459">
        <v>29662520</v>
      </c>
      <c r="D170" s="1459">
        <v>18553364</v>
      </c>
      <c r="E170" s="1894">
        <v>11109156</v>
      </c>
      <c r="O170" s="1541">
        <f t="shared" si="8"/>
        <v>0</v>
      </c>
      <c r="P170" s="1541">
        <f t="shared" si="8"/>
        <v>29662520</v>
      </c>
      <c r="Q170" s="1541">
        <f t="shared" si="8"/>
        <v>18553364</v>
      </c>
      <c r="R170" s="1899">
        <f t="shared" si="7"/>
        <v>11109156</v>
      </c>
    </row>
    <row r="171" spans="1:18" x14ac:dyDescent="0.3">
      <c r="A171" s="1878" t="s">
        <v>3620</v>
      </c>
      <c r="B171" s="1460"/>
      <c r="C171" s="1459">
        <v>14349</v>
      </c>
      <c r="D171" s="1462"/>
      <c r="E171" s="1894">
        <v>14349</v>
      </c>
      <c r="O171" s="1541">
        <f t="shared" si="8"/>
        <v>0</v>
      </c>
      <c r="P171" s="1541">
        <f t="shared" si="8"/>
        <v>14349</v>
      </c>
      <c r="Q171" s="1541">
        <f t="shared" si="8"/>
        <v>0</v>
      </c>
      <c r="R171" s="1899">
        <f t="shared" si="7"/>
        <v>14349</v>
      </c>
    </row>
    <row r="172" spans="1:18" x14ac:dyDescent="0.3">
      <c r="A172" s="1879" t="s">
        <v>3621</v>
      </c>
      <c r="B172" s="1460"/>
      <c r="C172" s="1459">
        <v>176165.16</v>
      </c>
      <c r="D172" s="1459">
        <v>156486.96</v>
      </c>
      <c r="E172" s="1894">
        <v>19678.2</v>
      </c>
      <c r="O172" s="1541">
        <f t="shared" si="8"/>
        <v>0</v>
      </c>
      <c r="P172" s="1541">
        <f t="shared" si="8"/>
        <v>176165.16</v>
      </c>
      <c r="Q172" s="1541">
        <f t="shared" si="8"/>
        <v>156486.96</v>
      </c>
      <c r="R172" s="1899">
        <f t="shared" si="7"/>
        <v>19678.2</v>
      </c>
    </row>
    <row r="173" spans="1:18" ht="22.8" x14ac:dyDescent="0.3">
      <c r="A173" s="1881" t="s">
        <v>3622</v>
      </c>
      <c r="B173" s="1460"/>
      <c r="C173" s="1459">
        <v>57000</v>
      </c>
      <c r="D173" s="1459">
        <v>57000</v>
      </c>
      <c r="E173" s="1460"/>
      <c r="O173" s="1541">
        <f t="shared" si="8"/>
        <v>0</v>
      </c>
      <c r="P173" s="1541">
        <f t="shared" si="8"/>
        <v>57000</v>
      </c>
      <c r="Q173" s="1541">
        <f t="shared" si="8"/>
        <v>57000</v>
      </c>
      <c r="R173" s="1899">
        <f t="shared" si="7"/>
        <v>0</v>
      </c>
    </row>
    <row r="174" spans="1:18" x14ac:dyDescent="0.3">
      <c r="A174" s="1879" t="s">
        <v>3623</v>
      </c>
      <c r="B174" s="1460"/>
      <c r="C174" s="1459">
        <v>16284</v>
      </c>
      <c r="D174" s="1459">
        <v>16284</v>
      </c>
      <c r="E174" s="1460"/>
      <c r="O174" s="1541">
        <f t="shared" si="8"/>
        <v>0</v>
      </c>
      <c r="P174" s="1541">
        <f t="shared" si="8"/>
        <v>16284</v>
      </c>
      <c r="Q174" s="1541">
        <f t="shared" si="8"/>
        <v>16284</v>
      </c>
      <c r="R174" s="1899">
        <f t="shared" si="7"/>
        <v>0</v>
      </c>
    </row>
    <row r="175" spans="1:18" x14ac:dyDescent="0.3">
      <c r="A175" s="1878" t="s">
        <v>3624</v>
      </c>
      <c r="B175" s="1460"/>
      <c r="C175" s="1459">
        <v>55000</v>
      </c>
      <c r="D175" s="1459">
        <v>80600</v>
      </c>
      <c r="E175" s="1468">
        <v>-25600</v>
      </c>
      <c r="O175" s="1541">
        <f t="shared" si="8"/>
        <v>0</v>
      </c>
      <c r="P175" s="1541">
        <f t="shared" si="8"/>
        <v>55000</v>
      </c>
      <c r="Q175" s="1541">
        <f t="shared" si="8"/>
        <v>80600</v>
      </c>
      <c r="R175" s="1899">
        <f t="shared" si="7"/>
        <v>-25600</v>
      </c>
    </row>
    <row r="176" spans="1:18" x14ac:dyDescent="0.3">
      <c r="A176" s="1878" t="s">
        <v>3625</v>
      </c>
      <c r="B176" s="1460"/>
      <c r="C176" s="1459">
        <v>157500</v>
      </c>
      <c r="D176" s="1462"/>
      <c r="E176" s="1894">
        <v>157500</v>
      </c>
      <c r="O176" s="1541">
        <f t="shared" si="8"/>
        <v>0</v>
      </c>
      <c r="P176" s="1541">
        <f t="shared" si="8"/>
        <v>157500</v>
      </c>
      <c r="Q176" s="1541">
        <f t="shared" si="8"/>
        <v>0</v>
      </c>
      <c r="R176" s="1899">
        <f t="shared" si="7"/>
        <v>157500</v>
      </c>
    </row>
    <row r="177" spans="1:18" x14ac:dyDescent="0.3">
      <c r="A177" s="1855" t="s">
        <v>3626</v>
      </c>
      <c r="B177" s="1460"/>
      <c r="C177" s="1459">
        <v>2769149</v>
      </c>
      <c r="D177" s="1459">
        <v>2767802.5</v>
      </c>
      <c r="E177" s="1894">
        <v>1346.5</v>
      </c>
      <c r="O177" s="1541">
        <f t="shared" si="8"/>
        <v>0</v>
      </c>
      <c r="P177" s="1541">
        <f t="shared" si="8"/>
        <v>2769149</v>
      </c>
      <c r="Q177" s="1541">
        <f t="shared" si="8"/>
        <v>2767802.5</v>
      </c>
      <c r="R177" s="1899">
        <f t="shared" si="7"/>
        <v>1346.5</v>
      </c>
    </row>
    <row r="178" spans="1:18" x14ac:dyDescent="0.3">
      <c r="A178" s="1878" t="s">
        <v>3678</v>
      </c>
      <c r="B178" s="1460"/>
      <c r="C178" s="1459">
        <v>701831</v>
      </c>
      <c r="D178" s="1459">
        <v>386745</v>
      </c>
      <c r="E178" s="1894">
        <v>315086</v>
      </c>
      <c r="H178" s="1878" t="s">
        <v>3678</v>
      </c>
      <c r="I178" s="1460"/>
      <c r="J178" s="1462"/>
      <c r="K178" s="1459">
        <v>386745</v>
      </c>
      <c r="L178" s="1468">
        <v>-386745</v>
      </c>
      <c r="O178" s="1541">
        <f t="shared" si="8"/>
        <v>0</v>
      </c>
      <c r="P178" s="1541">
        <f t="shared" si="8"/>
        <v>701831</v>
      </c>
      <c r="Q178" s="1541">
        <f t="shared" si="8"/>
        <v>773490</v>
      </c>
      <c r="R178" s="1899">
        <f t="shared" si="7"/>
        <v>-71659</v>
      </c>
    </row>
    <row r="179" spans="1:18" x14ac:dyDescent="0.3">
      <c r="A179" s="1878" t="s">
        <v>3627</v>
      </c>
      <c r="B179" s="1460"/>
      <c r="C179" s="1459">
        <v>74459.929999999993</v>
      </c>
      <c r="D179" s="1459">
        <v>74465.33</v>
      </c>
      <c r="E179" s="1468">
        <v>-5.4</v>
      </c>
      <c r="O179" s="1541">
        <f t="shared" si="8"/>
        <v>0</v>
      </c>
      <c r="P179" s="1541">
        <f t="shared" si="8"/>
        <v>74459.929999999993</v>
      </c>
      <c r="Q179" s="1541">
        <f t="shared" si="8"/>
        <v>74465.33</v>
      </c>
      <c r="R179" s="1899">
        <f t="shared" si="7"/>
        <v>-5.4</v>
      </c>
    </row>
    <row r="180" spans="1:18" x14ac:dyDescent="0.3">
      <c r="A180" s="1855" t="s">
        <v>3679</v>
      </c>
      <c r="B180" s="1460"/>
      <c r="C180" s="1459">
        <v>3612844</v>
      </c>
      <c r="D180" s="1459">
        <v>1621318</v>
      </c>
      <c r="E180" s="1894">
        <v>1991526</v>
      </c>
      <c r="H180" s="1855" t="s">
        <v>3679</v>
      </c>
      <c r="I180" s="1460"/>
      <c r="J180" s="1462"/>
      <c r="K180" s="1459">
        <v>1604760</v>
      </c>
      <c r="L180" s="1468">
        <v>-1604760</v>
      </c>
      <c r="O180" s="1541">
        <f t="shared" si="8"/>
        <v>0</v>
      </c>
      <c r="P180" s="1541">
        <f t="shared" si="8"/>
        <v>3612844</v>
      </c>
      <c r="Q180" s="1541">
        <f t="shared" si="8"/>
        <v>3226078</v>
      </c>
      <c r="R180" s="1899">
        <f t="shared" si="7"/>
        <v>386766</v>
      </c>
    </row>
    <row r="181" spans="1:18" x14ac:dyDescent="0.3">
      <c r="A181" s="1878" t="s">
        <v>3628</v>
      </c>
      <c r="B181" s="1460"/>
      <c r="C181" s="1459">
        <v>60899</v>
      </c>
      <c r="D181" s="1462"/>
      <c r="E181" s="1894">
        <v>60899</v>
      </c>
      <c r="O181" s="1541">
        <f t="shared" si="8"/>
        <v>0</v>
      </c>
      <c r="P181" s="1541">
        <f t="shared" si="8"/>
        <v>60899</v>
      </c>
      <c r="Q181" s="1541">
        <f t="shared" si="8"/>
        <v>0</v>
      </c>
      <c r="R181" s="1899">
        <f t="shared" si="7"/>
        <v>60899</v>
      </c>
    </row>
    <row r="182" spans="1:18" x14ac:dyDescent="0.3">
      <c r="A182" s="1878" t="s">
        <v>3629</v>
      </c>
      <c r="B182" s="1460"/>
      <c r="C182" s="1462"/>
      <c r="D182" s="1459">
        <v>33040</v>
      </c>
      <c r="E182" s="1468">
        <v>-33040</v>
      </c>
      <c r="O182" s="1541">
        <f t="shared" si="8"/>
        <v>0</v>
      </c>
      <c r="P182" s="1541">
        <f t="shared" si="8"/>
        <v>0</v>
      </c>
      <c r="Q182" s="1541">
        <f t="shared" si="8"/>
        <v>33040</v>
      </c>
      <c r="R182" s="1899">
        <f t="shared" si="7"/>
        <v>-33040</v>
      </c>
    </row>
    <row r="183" spans="1:18" x14ac:dyDescent="0.3">
      <c r="A183" s="1878" t="s">
        <v>3630</v>
      </c>
      <c r="B183" s="1460"/>
      <c r="C183" s="1459">
        <v>153445</v>
      </c>
      <c r="D183" s="1459">
        <v>76000</v>
      </c>
      <c r="E183" s="1894">
        <v>77445</v>
      </c>
      <c r="O183" s="1541">
        <f t="shared" si="8"/>
        <v>0</v>
      </c>
      <c r="P183" s="1541">
        <f t="shared" si="8"/>
        <v>153445</v>
      </c>
      <c r="Q183" s="1541">
        <f t="shared" si="8"/>
        <v>76000</v>
      </c>
      <c r="R183" s="1899">
        <f t="shared" si="7"/>
        <v>77445</v>
      </c>
    </row>
    <row r="184" spans="1:18" x14ac:dyDescent="0.3">
      <c r="A184" s="1855" t="s">
        <v>3631</v>
      </c>
      <c r="B184" s="1460"/>
      <c r="C184" s="1459">
        <v>30845</v>
      </c>
      <c r="D184" s="1459">
        <v>30845</v>
      </c>
      <c r="E184" s="1460"/>
      <c r="O184" s="1541">
        <f t="shared" si="8"/>
        <v>0</v>
      </c>
      <c r="P184" s="1541">
        <f t="shared" si="8"/>
        <v>30845</v>
      </c>
      <c r="Q184" s="1541">
        <f t="shared" si="8"/>
        <v>30845</v>
      </c>
      <c r="R184" s="1899">
        <f t="shared" si="7"/>
        <v>0</v>
      </c>
    </row>
    <row r="185" spans="1:18" x14ac:dyDescent="0.3">
      <c r="A185" s="1878" t="s">
        <v>3632</v>
      </c>
      <c r="B185" s="1460"/>
      <c r="C185" s="1459">
        <v>68648.800000000003</v>
      </c>
      <c r="D185" s="1462"/>
      <c r="E185" s="1894">
        <v>68648.800000000003</v>
      </c>
      <c r="O185" s="1541">
        <f t="shared" si="8"/>
        <v>0</v>
      </c>
      <c r="P185" s="1541">
        <f t="shared" si="8"/>
        <v>68648.800000000003</v>
      </c>
      <c r="Q185" s="1541">
        <f t="shared" si="8"/>
        <v>0</v>
      </c>
      <c r="R185" s="1899">
        <f t="shared" si="7"/>
        <v>68648.800000000003</v>
      </c>
    </row>
    <row r="186" spans="1:18" x14ac:dyDescent="0.3">
      <c r="A186" s="1855" t="s">
        <v>3633</v>
      </c>
      <c r="B186" s="1460"/>
      <c r="C186" s="1459">
        <v>363965</v>
      </c>
      <c r="D186" s="1459">
        <v>434715</v>
      </c>
      <c r="E186" s="1468">
        <v>-70750</v>
      </c>
      <c r="O186" s="1541">
        <f t="shared" si="8"/>
        <v>0</v>
      </c>
      <c r="P186" s="1541">
        <f t="shared" si="8"/>
        <v>363965</v>
      </c>
      <c r="Q186" s="1541">
        <f t="shared" si="8"/>
        <v>434715</v>
      </c>
      <c r="R186" s="1899">
        <f t="shared" si="7"/>
        <v>-70750</v>
      </c>
    </row>
    <row r="187" spans="1:18" x14ac:dyDescent="0.3">
      <c r="A187" s="1879" t="s">
        <v>3634</v>
      </c>
      <c r="B187" s="1460"/>
      <c r="C187" s="1459">
        <v>110000</v>
      </c>
      <c r="D187" s="1459">
        <v>270755</v>
      </c>
      <c r="E187" s="1468">
        <v>-160755</v>
      </c>
      <c r="O187" s="1541">
        <f t="shared" si="8"/>
        <v>0</v>
      </c>
      <c r="P187" s="1541">
        <f t="shared" si="8"/>
        <v>110000</v>
      </c>
      <c r="Q187" s="1541">
        <f t="shared" si="8"/>
        <v>270755</v>
      </c>
      <c r="R187" s="1899">
        <f t="shared" si="7"/>
        <v>-160755</v>
      </c>
    </row>
    <row r="188" spans="1:18" x14ac:dyDescent="0.3">
      <c r="A188" s="1878" t="s">
        <v>3635</v>
      </c>
      <c r="B188" s="1460"/>
      <c r="C188" s="1459">
        <v>15872</v>
      </c>
      <c r="D188" s="1459">
        <v>15872</v>
      </c>
      <c r="E188" s="1460"/>
      <c r="O188" s="1541">
        <f t="shared" si="8"/>
        <v>0</v>
      </c>
      <c r="P188" s="1541">
        <f t="shared" si="8"/>
        <v>15872</v>
      </c>
      <c r="Q188" s="1541">
        <f t="shared" si="8"/>
        <v>15872</v>
      </c>
      <c r="R188" s="1899">
        <f t="shared" si="7"/>
        <v>0</v>
      </c>
    </row>
    <row r="189" spans="1:18" x14ac:dyDescent="0.3">
      <c r="A189" s="1855" t="s">
        <v>3636</v>
      </c>
      <c r="B189" s="1460"/>
      <c r="C189" s="1459">
        <v>13550</v>
      </c>
      <c r="D189" s="1459">
        <v>13550</v>
      </c>
      <c r="E189" s="1460"/>
      <c r="O189" s="1541">
        <f t="shared" si="8"/>
        <v>0</v>
      </c>
      <c r="P189" s="1541">
        <f t="shared" si="8"/>
        <v>13550</v>
      </c>
      <c r="Q189" s="1541">
        <f t="shared" si="8"/>
        <v>13550</v>
      </c>
      <c r="R189" s="1899">
        <f t="shared" si="7"/>
        <v>0</v>
      </c>
    </row>
    <row r="190" spans="1:18" x14ac:dyDescent="0.3">
      <c r="A190" s="1855" t="s">
        <v>3637</v>
      </c>
      <c r="B190" s="1460"/>
      <c r="C190" s="1459">
        <v>45099.360000000001</v>
      </c>
      <c r="D190" s="1459">
        <v>184899.36</v>
      </c>
      <c r="E190" s="1468">
        <v>-139800</v>
      </c>
      <c r="O190" s="1541">
        <f t="shared" si="8"/>
        <v>0</v>
      </c>
      <c r="P190" s="1541">
        <f t="shared" si="8"/>
        <v>45099.360000000001</v>
      </c>
      <c r="Q190" s="1541">
        <f t="shared" si="8"/>
        <v>184899.36</v>
      </c>
      <c r="R190" s="1899">
        <f t="shared" si="7"/>
        <v>-139800</v>
      </c>
    </row>
    <row r="191" spans="1:18" x14ac:dyDescent="0.3">
      <c r="A191" s="1855" t="s">
        <v>3638</v>
      </c>
      <c r="B191" s="1460"/>
      <c r="C191" s="1459">
        <v>30038788</v>
      </c>
      <c r="D191" s="1459">
        <v>10464613.300000001</v>
      </c>
      <c r="E191" s="1894">
        <v>19574174.699999999</v>
      </c>
      <c r="O191" s="1541">
        <f t="shared" si="8"/>
        <v>0</v>
      </c>
      <c r="P191" s="1541">
        <f t="shared" si="8"/>
        <v>30038788</v>
      </c>
      <c r="Q191" s="1541">
        <f t="shared" si="8"/>
        <v>10464613.300000001</v>
      </c>
      <c r="R191" s="1899">
        <f t="shared" si="7"/>
        <v>19574174.699999999</v>
      </c>
    </row>
    <row r="192" spans="1:18" x14ac:dyDescent="0.3">
      <c r="A192" s="1878" t="s">
        <v>3639</v>
      </c>
      <c r="B192" s="1460"/>
      <c r="C192" s="1459">
        <v>1459713</v>
      </c>
      <c r="D192" s="1462"/>
      <c r="E192" s="1894">
        <v>1459713</v>
      </c>
      <c r="O192" s="1541">
        <f t="shared" si="8"/>
        <v>0</v>
      </c>
      <c r="P192" s="1541">
        <f t="shared" si="8"/>
        <v>1459713</v>
      </c>
      <c r="Q192" s="1541">
        <f t="shared" si="8"/>
        <v>0</v>
      </c>
      <c r="R192" s="1899">
        <f t="shared" si="7"/>
        <v>1459713</v>
      </c>
    </row>
    <row r="193" spans="1:18" x14ac:dyDescent="0.3">
      <c r="A193" s="1855" t="s">
        <v>3640</v>
      </c>
      <c r="B193" s="1460"/>
      <c r="C193" s="1459">
        <v>684000</v>
      </c>
      <c r="D193" s="1459">
        <v>675090.65</v>
      </c>
      <c r="E193" s="1894">
        <v>8909.35</v>
      </c>
      <c r="O193" s="1541">
        <f t="shared" si="8"/>
        <v>0</v>
      </c>
      <c r="P193" s="1541">
        <f t="shared" si="8"/>
        <v>684000</v>
      </c>
      <c r="Q193" s="1541">
        <f t="shared" si="8"/>
        <v>675090.65</v>
      </c>
      <c r="R193" s="1899">
        <f t="shared" si="7"/>
        <v>8909.35</v>
      </c>
    </row>
    <row r="194" spans="1:18" x14ac:dyDescent="0.3">
      <c r="A194" s="1879" t="s">
        <v>3641</v>
      </c>
      <c r="B194" s="1460"/>
      <c r="C194" s="1459">
        <v>310388</v>
      </c>
      <c r="D194" s="1459">
        <v>155194</v>
      </c>
      <c r="E194" s="1894">
        <v>155194</v>
      </c>
      <c r="O194" s="1541">
        <f t="shared" si="8"/>
        <v>0</v>
      </c>
      <c r="P194" s="1541">
        <f t="shared" si="8"/>
        <v>310388</v>
      </c>
      <c r="Q194" s="1541">
        <f t="shared" si="8"/>
        <v>155194</v>
      </c>
      <c r="R194" s="1899">
        <f t="shared" si="7"/>
        <v>155194</v>
      </c>
    </row>
    <row r="195" spans="1:18" x14ac:dyDescent="0.3">
      <c r="A195" s="1855" t="s">
        <v>3642</v>
      </c>
      <c r="B195" s="1460"/>
      <c r="C195" s="1459">
        <v>6000000</v>
      </c>
      <c r="D195" s="1459">
        <v>6000000</v>
      </c>
      <c r="E195" s="1460"/>
      <c r="O195" s="1541">
        <f t="shared" si="8"/>
        <v>0</v>
      </c>
      <c r="P195" s="1541">
        <f t="shared" si="8"/>
        <v>6000000</v>
      </c>
      <c r="Q195" s="1541">
        <f t="shared" si="8"/>
        <v>6000000</v>
      </c>
      <c r="R195" s="1899">
        <f t="shared" si="7"/>
        <v>0</v>
      </c>
    </row>
    <row r="196" spans="1:18" x14ac:dyDescent="0.3">
      <c r="A196" s="1878" t="s">
        <v>3643</v>
      </c>
      <c r="B196" s="1460"/>
      <c r="C196" s="1459">
        <v>27243.42</v>
      </c>
      <c r="D196" s="1459">
        <v>23359.26</v>
      </c>
      <c r="E196" s="1894">
        <v>3884.16</v>
      </c>
      <c r="O196" s="1541">
        <f t="shared" si="8"/>
        <v>0</v>
      </c>
      <c r="P196" s="1541">
        <f t="shared" si="8"/>
        <v>27243.42</v>
      </c>
      <c r="Q196" s="1541">
        <f t="shared" si="8"/>
        <v>23359.26</v>
      </c>
      <c r="R196" s="1899">
        <f t="shared" si="7"/>
        <v>3884.16</v>
      </c>
    </row>
    <row r="197" spans="1:18" x14ac:dyDescent="0.3">
      <c r="A197" s="1879" t="s">
        <v>3644</v>
      </c>
      <c r="B197" s="1460"/>
      <c r="C197" s="1459">
        <v>25000</v>
      </c>
      <c r="D197" s="1459">
        <v>27950</v>
      </c>
      <c r="E197" s="1468">
        <v>-2950</v>
      </c>
      <c r="O197" s="1541">
        <f t="shared" si="8"/>
        <v>0</v>
      </c>
      <c r="P197" s="1541">
        <f t="shared" si="8"/>
        <v>25000</v>
      </c>
      <c r="Q197" s="1541">
        <f t="shared" si="8"/>
        <v>27950</v>
      </c>
      <c r="R197" s="1899">
        <f t="shared" si="7"/>
        <v>-2950</v>
      </c>
    </row>
    <row r="198" spans="1:18" x14ac:dyDescent="0.3">
      <c r="A198" s="1878" t="s">
        <v>3645</v>
      </c>
      <c r="B198" s="1460"/>
      <c r="C198" s="1459">
        <v>219056</v>
      </c>
      <c r="D198" s="1459">
        <v>109528</v>
      </c>
      <c r="E198" s="1894">
        <v>109528</v>
      </c>
      <c r="O198" s="1541">
        <f t="shared" si="8"/>
        <v>0</v>
      </c>
      <c r="P198" s="1541">
        <f t="shared" si="8"/>
        <v>219056</v>
      </c>
      <c r="Q198" s="1541">
        <f t="shared" si="8"/>
        <v>109528</v>
      </c>
      <c r="R198" s="1899">
        <f t="shared" si="7"/>
        <v>109528</v>
      </c>
    </row>
    <row r="199" spans="1:18" x14ac:dyDescent="0.3">
      <c r="A199" s="1878" t="s">
        <v>3646</v>
      </c>
      <c r="B199" s="1460"/>
      <c r="C199" s="1459">
        <v>44840</v>
      </c>
      <c r="D199" s="1459">
        <v>44840</v>
      </c>
      <c r="E199" s="1460"/>
      <c r="O199" s="1541">
        <f t="shared" si="8"/>
        <v>0</v>
      </c>
      <c r="P199" s="1541">
        <f t="shared" si="8"/>
        <v>44840</v>
      </c>
      <c r="Q199" s="1541">
        <f t="shared" si="8"/>
        <v>44840</v>
      </c>
      <c r="R199" s="1899">
        <f t="shared" si="7"/>
        <v>0</v>
      </c>
    </row>
    <row r="200" spans="1:18" x14ac:dyDescent="0.3">
      <c r="A200" s="1879" t="s">
        <v>3647</v>
      </c>
      <c r="B200" s="1460"/>
      <c r="C200" s="1459">
        <v>21770</v>
      </c>
      <c r="D200" s="1459">
        <v>21770</v>
      </c>
      <c r="E200" s="1460"/>
      <c r="O200" s="1541">
        <f t="shared" si="8"/>
        <v>0</v>
      </c>
      <c r="P200" s="1541">
        <f t="shared" si="8"/>
        <v>21770</v>
      </c>
      <c r="Q200" s="1541">
        <f t="shared" si="8"/>
        <v>21770</v>
      </c>
      <c r="R200" s="1899">
        <f t="shared" si="7"/>
        <v>0</v>
      </c>
    </row>
    <row r="201" spans="1:18" x14ac:dyDescent="0.3">
      <c r="A201" s="1878" t="s">
        <v>3648</v>
      </c>
      <c r="B201" s="1460"/>
      <c r="C201" s="1459">
        <v>175879</v>
      </c>
      <c r="D201" s="1459">
        <v>58292</v>
      </c>
      <c r="E201" s="1894">
        <v>117587</v>
      </c>
      <c r="O201" s="1541">
        <f t="shared" si="8"/>
        <v>0</v>
      </c>
      <c r="P201" s="1541">
        <f t="shared" si="8"/>
        <v>175879</v>
      </c>
      <c r="Q201" s="1541">
        <f t="shared" si="8"/>
        <v>58292</v>
      </c>
      <c r="R201" s="1899">
        <f t="shared" si="7"/>
        <v>117587</v>
      </c>
    </row>
    <row r="202" spans="1:18" x14ac:dyDescent="0.3">
      <c r="A202" s="1855" t="s">
        <v>3680</v>
      </c>
      <c r="B202" s="1460"/>
      <c r="C202" s="1459">
        <v>3424360</v>
      </c>
      <c r="D202" s="1459">
        <v>3424360</v>
      </c>
      <c r="E202" s="1460"/>
      <c r="H202" s="1855" t="s">
        <v>3680</v>
      </c>
      <c r="I202" s="1460"/>
      <c r="J202" s="1462"/>
      <c r="K202" s="1459">
        <v>1712180</v>
      </c>
      <c r="L202" s="1468">
        <v>-1712180</v>
      </c>
      <c r="O202" s="1541">
        <f t="shared" si="8"/>
        <v>0</v>
      </c>
      <c r="P202" s="1541">
        <f t="shared" si="8"/>
        <v>3424360</v>
      </c>
      <c r="Q202" s="1541">
        <f t="shared" si="8"/>
        <v>5136540</v>
      </c>
      <c r="R202" s="1899">
        <f t="shared" si="7"/>
        <v>-1712180</v>
      </c>
    </row>
    <row r="203" spans="1:18" x14ac:dyDescent="0.3">
      <c r="A203" s="1878" t="s">
        <v>3649</v>
      </c>
      <c r="B203" s="1460"/>
      <c r="C203" s="1459">
        <v>27671</v>
      </c>
      <c r="D203" s="1462"/>
      <c r="E203" s="1894">
        <v>27671</v>
      </c>
      <c r="O203" s="1541">
        <f t="shared" si="8"/>
        <v>0</v>
      </c>
      <c r="P203" s="1541">
        <f t="shared" si="8"/>
        <v>27671</v>
      </c>
      <c r="Q203" s="1541">
        <f t="shared" si="8"/>
        <v>0</v>
      </c>
      <c r="R203" s="1899">
        <f t="shared" si="7"/>
        <v>27671</v>
      </c>
    </row>
    <row r="204" spans="1:18" x14ac:dyDescent="0.3">
      <c r="A204" s="1878" t="s">
        <v>3650</v>
      </c>
      <c r="B204" s="1460"/>
      <c r="C204" s="1459">
        <v>18620000</v>
      </c>
      <c r="D204" s="1459">
        <v>13723478</v>
      </c>
      <c r="E204" s="1894">
        <v>4896522</v>
      </c>
      <c r="O204" s="1541">
        <f t="shared" si="8"/>
        <v>0</v>
      </c>
      <c r="P204" s="1541">
        <f t="shared" si="8"/>
        <v>18620000</v>
      </c>
      <c r="Q204" s="1541">
        <f t="shared" si="8"/>
        <v>13723478</v>
      </c>
      <c r="R204" s="1899">
        <f t="shared" si="7"/>
        <v>4896522</v>
      </c>
    </row>
    <row r="205" spans="1:18" x14ac:dyDescent="0.3">
      <c r="A205" s="1878" t="s">
        <v>3651</v>
      </c>
      <c r="B205" s="1460"/>
      <c r="C205" s="1459">
        <v>215000</v>
      </c>
      <c r="D205" s="1462"/>
      <c r="E205" s="1894">
        <v>215000</v>
      </c>
      <c r="O205" s="1541">
        <f t="shared" si="8"/>
        <v>0</v>
      </c>
      <c r="P205" s="1541">
        <f t="shared" si="8"/>
        <v>215000</v>
      </c>
      <c r="Q205" s="1541">
        <f t="shared" si="8"/>
        <v>0</v>
      </c>
      <c r="R205" s="1899">
        <f t="shared" si="7"/>
        <v>215000</v>
      </c>
    </row>
    <row r="206" spans="1:18" x14ac:dyDescent="0.3">
      <c r="A206" s="1855" t="s">
        <v>3681</v>
      </c>
      <c r="B206" s="1460"/>
      <c r="C206" s="1459">
        <v>40356</v>
      </c>
      <c r="D206" s="1459">
        <v>19470</v>
      </c>
      <c r="E206" s="1894">
        <v>20886</v>
      </c>
      <c r="H206" s="1855" t="s">
        <v>3681</v>
      </c>
      <c r="I206" s="1460"/>
      <c r="J206" s="1462"/>
      <c r="K206" s="1459">
        <v>20886</v>
      </c>
      <c r="L206" s="1468">
        <v>-20886</v>
      </c>
      <c r="O206" s="1541">
        <f t="shared" si="8"/>
        <v>0</v>
      </c>
      <c r="P206" s="1541">
        <f t="shared" si="8"/>
        <v>40356</v>
      </c>
      <c r="Q206" s="1541">
        <f t="shared" si="8"/>
        <v>40356</v>
      </c>
      <c r="R206" s="1899">
        <f t="shared" si="7"/>
        <v>0</v>
      </c>
    </row>
    <row r="207" spans="1:18" ht="22.8" x14ac:dyDescent="0.3">
      <c r="A207" s="1880" t="s">
        <v>3652</v>
      </c>
      <c r="B207" s="1460"/>
      <c r="C207" s="1459">
        <v>3229300</v>
      </c>
      <c r="D207" s="1459">
        <v>1545800</v>
      </c>
      <c r="E207" s="1894">
        <v>1683500</v>
      </c>
      <c r="H207" s="1878"/>
      <c r="I207" s="1460"/>
      <c r="J207" s="1462"/>
      <c r="K207" s="1459"/>
      <c r="L207" s="1468"/>
      <c r="O207" s="1541">
        <f t="shared" si="8"/>
        <v>0</v>
      </c>
      <c r="P207" s="1541">
        <f t="shared" si="8"/>
        <v>3229300</v>
      </c>
      <c r="Q207" s="1541">
        <f t="shared" si="8"/>
        <v>1545800</v>
      </c>
      <c r="R207" s="1899">
        <f t="shared" si="7"/>
        <v>1683500</v>
      </c>
    </row>
    <row r="208" spans="1:18" x14ac:dyDescent="0.3">
      <c r="A208" s="1878" t="s">
        <v>3669</v>
      </c>
      <c r="B208" s="1460"/>
      <c r="C208" s="1459"/>
      <c r="D208" s="1459"/>
      <c r="E208" s="1894"/>
      <c r="H208" s="1878" t="s">
        <v>3669</v>
      </c>
      <c r="I208" s="1460"/>
      <c r="J208" s="1462"/>
      <c r="K208" s="1459">
        <v>17000</v>
      </c>
      <c r="L208" s="1468">
        <v>-17000</v>
      </c>
      <c r="O208" s="1541">
        <f t="shared" si="8"/>
        <v>0</v>
      </c>
      <c r="P208" s="1541">
        <f t="shared" si="8"/>
        <v>0</v>
      </c>
      <c r="Q208" s="1541">
        <f t="shared" si="8"/>
        <v>17000</v>
      </c>
      <c r="R208" s="1899">
        <f t="shared" si="7"/>
        <v>-17000</v>
      </c>
    </row>
    <row r="209" spans="1:18" x14ac:dyDescent="0.3">
      <c r="A209" s="1878" t="s">
        <v>3653</v>
      </c>
      <c r="B209" s="1460"/>
      <c r="C209" s="1459">
        <v>46020</v>
      </c>
      <c r="D209" s="1462"/>
      <c r="E209" s="1894">
        <v>46020</v>
      </c>
      <c r="O209" s="1541">
        <f t="shared" si="8"/>
        <v>0</v>
      </c>
      <c r="P209" s="1541">
        <f t="shared" si="8"/>
        <v>46020</v>
      </c>
      <c r="Q209" s="1541">
        <f t="shared" si="8"/>
        <v>0</v>
      </c>
      <c r="R209" s="1899">
        <f t="shared" si="7"/>
        <v>46020</v>
      </c>
    </row>
    <row r="210" spans="1:18" x14ac:dyDescent="0.3">
      <c r="A210" s="1878" t="s">
        <v>3654</v>
      </c>
      <c r="B210" s="1460"/>
      <c r="C210" s="1459">
        <v>26867</v>
      </c>
      <c r="D210" s="1459">
        <v>26867</v>
      </c>
      <c r="E210" s="1460"/>
      <c r="O210" s="1541">
        <f t="shared" si="8"/>
        <v>0</v>
      </c>
      <c r="P210" s="1541">
        <f t="shared" si="8"/>
        <v>26867</v>
      </c>
      <c r="Q210" s="1541">
        <f t="shared" si="8"/>
        <v>26867</v>
      </c>
      <c r="R210" s="1899">
        <f t="shared" si="7"/>
        <v>0</v>
      </c>
    </row>
    <row r="211" spans="1:18" x14ac:dyDescent="0.3">
      <c r="A211" s="1878" t="s">
        <v>3655</v>
      </c>
      <c r="B211" s="1460"/>
      <c r="C211" s="1459">
        <v>23000</v>
      </c>
      <c r="D211" s="1459">
        <v>23000</v>
      </c>
      <c r="E211" s="1460"/>
      <c r="O211" s="1541">
        <f t="shared" si="8"/>
        <v>0</v>
      </c>
      <c r="P211" s="1541">
        <f t="shared" si="8"/>
        <v>23000</v>
      </c>
      <c r="Q211" s="1541">
        <f t="shared" si="8"/>
        <v>23000</v>
      </c>
      <c r="R211" s="1899">
        <f t="shared" si="7"/>
        <v>0</v>
      </c>
    </row>
    <row r="212" spans="1:18" x14ac:dyDescent="0.3">
      <c r="A212" s="1878" t="s">
        <v>3656</v>
      </c>
      <c r="B212" s="1460"/>
      <c r="C212" s="1459">
        <v>49500</v>
      </c>
      <c r="D212" s="1459">
        <v>49500</v>
      </c>
      <c r="E212" s="1460"/>
      <c r="O212" s="1541">
        <f t="shared" si="8"/>
        <v>0</v>
      </c>
      <c r="P212" s="1541">
        <f t="shared" si="8"/>
        <v>49500</v>
      </c>
      <c r="Q212" s="1541">
        <f t="shared" si="8"/>
        <v>49500</v>
      </c>
      <c r="R212" s="1899">
        <f t="shared" si="7"/>
        <v>0</v>
      </c>
    </row>
    <row r="213" spans="1:18" x14ac:dyDescent="0.3">
      <c r="A213" s="1855" t="s">
        <v>3657</v>
      </c>
      <c r="B213" s="1460"/>
      <c r="C213" s="1459">
        <v>1029727</v>
      </c>
      <c r="D213" s="1459">
        <v>482207</v>
      </c>
      <c r="E213" s="1894">
        <v>547520</v>
      </c>
      <c r="O213" s="1541">
        <f t="shared" si="8"/>
        <v>0</v>
      </c>
      <c r="P213" s="1541">
        <f t="shared" si="8"/>
        <v>1029727</v>
      </c>
      <c r="Q213" s="1541">
        <f t="shared" si="8"/>
        <v>482207</v>
      </c>
      <c r="R213" s="1899">
        <f t="shared" si="7"/>
        <v>547520</v>
      </c>
    </row>
    <row r="214" spans="1:18" x14ac:dyDescent="0.3">
      <c r="A214" s="1878" t="s">
        <v>3658</v>
      </c>
      <c r="B214" s="1460"/>
      <c r="C214" s="1459">
        <v>410450</v>
      </c>
      <c r="D214" s="1462"/>
      <c r="E214" s="1894">
        <v>410450</v>
      </c>
      <c r="O214" s="1541">
        <f t="shared" si="8"/>
        <v>0</v>
      </c>
      <c r="P214" s="1541">
        <f t="shared" si="8"/>
        <v>410450</v>
      </c>
      <c r="Q214" s="1541">
        <f t="shared" si="8"/>
        <v>0</v>
      </c>
      <c r="R214" s="1899">
        <f t="shared" si="7"/>
        <v>410450</v>
      </c>
    </row>
    <row r="215" spans="1:18" x14ac:dyDescent="0.3">
      <c r="A215" s="1855" t="s">
        <v>3659</v>
      </c>
      <c r="B215" s="1460"/>
      <c r="C215" s="1459">
        <v>124724</v>
      </c>
      <c r="D215" s="1459">
        <v>82362</v>
      </c>
      <c r="E215" s="1894">
        <v>42362</v>
      </c>
      <c r="O215" s="1541">
        <f t="shared" si="8"/>
        <v>0</v>
      </c>
      <c r="P215" s="1541">
        <f t="shared" si="8"/>
        <v>124724</v>
      </c>
      <c r="Q215" s="1541">
        <f t="shared" si="8"/>
        <v>82362</v>
      </c>
      <c r="R215" s="1899">
        <f t="shared" si="7"/>
        <v>42362</v>
      </c>
    </row>
    <row r="216" spans="1:18" x14ac:dyDescent="0.3">
      <c r="A216" s="1878" t="s">
        <v>3660</v>
      </c>
      <c r="B216" s="1460"/>
      <c r="C216" s="1459">
        <v>350460</v>
      </c>
      <c r="D216" s="1459">
        <v>191160</v>
      </c>
      <c r="E216" s="1894">
        <v>159300</v>
      </c>
      <c r="O216" s="1541">
        <f t="shared" si="8"/>
        <v>0</v>
      </c>
      <c r="P216" s="1541">
        <f t="shared" si="8"/>
        <v>350460</v>
      </c>
      <c r="Q216" s="1541">
        <f t="shared" si="8"/>
        <v>191160</v>
      </c>
      <c r="R216" s="1899">
        <f t="shared" si="7"/>
        <v>159300</v>
      </c>
    </row>
    <row r="217" spans="1:18" x14ac:dyDescent="0.3">
      <c r="A217" s="1855" t="s">
        <v>3661</v>
      </c>
      <c r="B217" s="1460"/>
      <c r="C217" s="1459">
        <v>6940</v>
      </c>
      <c r="D217" s="1459">
        <v>3690</v>
      </c>
      <c r="E217" s="1894">
        <v>3250</v>
      </c>
      <c r="O217" s="1541">
        <f t="shared" si="8"/>
        <v>0</v>
      </c>
      <c r="P217" s="1541">
        <f t="shared" si="8"/>
        <v>6940</v>
      </c>
      <c r="Q217" s="1541">
        <f t="shared" si="8"/>
        <v>3690</v>
      </c>
      <c r="R217" s="1899">
        <f t="shared" si="7"/>
        <v>3250</v>
      </c>
    </row>
    <row r="218" spans="1:18" x14ac:dyDescent="0.3">
      <c r="A218" s="1878" t="s">
        <v>3662</v>
      </c>
      <c r="B218" s="1460"/>
      <c r="C218" s="1459">
        <v>9017074</v>
      </c>
      <c r="D218" s="1462"/>
      <c r="E218" s="1894">
        <v>9017074</v>
      </c>
      <c r="O218" s="1541">
        <f t="shared" si="8"/>
        <v>0</v>
      </c>
      <c r="P218" s="1541">
        <f t="shared" si="8"/>
        <v>9017074</v>
      </c>
      <c r="Q218" s="1541">
        <f t="shared" si="8"/>
        <v>0</v>
      </c>
      <c r="R218" s="1899">
        <f t="shared" si="7"/>
        <v>9017074</v>
      </c>
    </row>
    <row r="219" spans="1:18" x14ac:dyDescent="0.3">
      <c r="A219" s="1878" t="s">
        <v>3663</v>
      </c>
      <c r="B219" s="1460"/>
      <c r="C219" s="1459">
        <v>4032000</v>
      </c>
      <c r="D219" s="1459">
        <v>2016000</v>
      </c>
      <c r="E219" s="1894">
        <v>2016000</v>
      </c>
      <c r="O219" s="1541">
        <f t="shared" si="8"/>
        <v>0</v>
      </c>
      <c r="P219" s="1541">
        <f t="shared" si="8"/>
        <v>4032000</v>
      </c>
      <c r="Q219" s="1541">
        <f t="shared" si="8"/>
        <v>2016000</v>
      </c>
      <c r="R219" s="1899">
        <f t="shared" si="7"/>
        <v>2016000</v>
      </c>
    </row>
    <row r="220" spans="1:18" x14ac:dyDescent="0.3">
      <c r="A220" s="1852" t="s">
        <v>3664</v>
      </c>
      <c r="B220" s="1460"/>
      <c r="C220" s="1459">
        <v>141000</v>
      </c>
      <c r="D220" s="1459">
        <v>141000</v>
      </c>
      <c r="E220" s="1460"/>
      <c r="O220" s="1541">
        <f t="shared" si="8"/>
        <v>0</v>
      </c>
      <c r="P220" s="1541">
        <f t="shared" si="8"/>
        <v>141000</v>
      </c>
      <c r="Q220" s="1541">
        <f t="shared" si="8"/>
        <v>141000</v>
      </c>
      <c r="R220" s="1899">
        <f t="shared" si="7"/>
        <v>0</v>
      </c>
    </row>
    <row r="221" spans="1:18" x14ac:dyDescent="0.3">
      <c r="A221" s="1878" t="s">
        <v>3665</v>
      </c>
      <c r="B221" s="1460"/>
      <c r="C221" s="1459">
        <v>700000</v>
      </c>
      <c r="D221" s="1459">
        <v>926329.1</v>
      </c>
      <c r="E221" s="1468">
        <v>-226329.1</v>
      </c>
      <c r="O221" s="1541">
        <f t="shared" si="8"/>
        <v>0</v>
      </c>
      <c r="P221" s="1541">
        <f t="shared" si="8"/>
        <v>700000</v>
      </c>
      <c r="Q221" s="1541">
        <f t="shared" si="8"/>
        <v>926329.1</v>
      </c>
      <c r="R221" s="1899">
        <f t="shared" si="7"/>
        <v>-226329.1</v>
      </c>
    </row>
    <row r="222" spans="1:18" x14ac:dyDescent="0.3">
      <c r="A222" s="1878" t="s">
        <v>3666</v>
      </c>
      <c r="B222" s="1460"/>
      <c r="C222" s="1459">
        <v>32550</v>
      </c>
      <c r="D222" s="1459">
        <v>32550</v>
      </c>
      <c r="E222" s="1460"/>
      <c r="O222" s="1541">
        <f t="shared" si="8"/>
        <v>0</v>
      </c>
      <c r="P222" s="1541">
        <f t="shared" si="8"/>
        <v>32550</v>
      </c>
      <c r="Q222" s="1541">
        <f t="shared" si="8"/>
        <v>32550</v>
      </c>
      <c r="R222" s="1899">
        <f t="shared" si="7"/>
        <v>0</v>
      </c>
    </row>
    <row r="223" spans="1:18" x14ac:dyDescent="0.3">
      <c r="A223" s="1855" t="s">
        <v>2468</v>
      </c>
      <c r="B223" s="1462"/>
      <c r="C223" s="1456">
        <v>3821</v>
      </c>
      <c r="D223" s="1456">
        <v>3821</v>
      </c>
      <c r="E223" s="1462"/>
      <c r="O223" s="1541">
        <f t="shared" si="8"/>
        <v>0</v>
      </c>
      <c r="P223" s="1541">
        <f t="shared" si="8"/>
        <v>3821</v>
      </c>
      <c r="Q223" s="1541">
        <f t="shared" si="8"/>
        <v>3821</v>
      </c>
      <c r="R223" s="1899">
        <f t="shared" si="7"/>
        <v>0</v>
      </c>
    </row>
    <row r="224" spans="1:18" x14ac:dyDescent="0.3">
      <c r="A224" s="1855" t="s">
        <v>2469</v>
      </c>
      <c r="B224" s="1462"/>
      <c r="C224" s="1456">
        <v>14484</v>
      </c>
      <c r="D224" s="1456">
        <v>14484</v>
      </c>
      <c r="E224" s="1462"/>
      <c r="O224" s="1541">
        <f t="shared" si="8"/>
        <v>0</v>
      </c>
      <c r="P224" s="1541">
        <f t="shared" si="8"/>
        <v>14484</v>
      </c>
      <c r="Q224" s="1541">
        <f t="shared" si="8"/>
        <v>14484</v>
      </c>
      <c r="R224" s="1899">
        <f t="shared" si="7"/>
        <v>0</v>
      </c>
    </row>
    <row r="225" spans="1:18" x14ac:dyDescent="0.3">
      <c r="A225" s="1855"/>
      <c r="B225" s="1462"/>
      <c r="C225" s="1456"/>
      <c r="D225" s="1456"/>
      <c r="E225" s="1462"/>
      <c r="O225" s="1541"/>
      <c r="P225" s="1541"/>
      <c r="Q225" s="1541"/>
      <c r="R225" s="1541"/>
    </row>
    <row r="226" spans="1:18" x14ac:dyDescent="0.3">
      <c r="A226" s="1855"/>
      <c r="B226" s="1462"/>
      <c r="C226" s="1456"/>
      <c r="D226" s="1456"/>
      <c r="E226" s="1462"/>
      <c r="O226" s="1541"/>
      <c r="P226" s="1541"/>
      <c r="Q226" s="1541"/>
      <c r="R226" s="1541"/>
    </row>
    <row r="227" spans="1:18" x14ac:dyDescent="0.3">
      <c r="A227" s="1855"/>
      <c r="B227" s="1462"/>
      <c r="C227" s="1456"/>
      <c r="D227" s="1456"/>
      <c r="E227" s="1462"/>
      <c r="O227" s="1541"/>
      <c r="P227" s="1541"/>
      <c r="Q227" s="1541"/>
      <c r="R227" s="1541"/>
    </row>
    <row r="228" spans="1:18" x14ac:dyDescent="0.3">
      <c r="A228" s="1855"/>
      <c r="B228" s="1462"/>
      <c r="C228" s="1456"/>
      <c r="D228" s="1456"/>
      <c r="E228" s="1462"/>
      <c r="O228" s="1541"/>
      <c r="P228" s="1541"/>
      <c r="Q228" s="1541"/>
      <c r="R228" s="1541"/>
    </row>
    <row r="229" spans="1:18" x14ac:dyDescent="0.3">
      <c r="A229" s="1855" t="s">
        <v>2470</v>
      </c>
      <c r="B229" s="1462"/>
      <c r="C229" s="1460"/>
      <c r="D229" s="1456">
        <v>154000</v>
      </c>
      <c r="E229" s="1471">
        <v>-154000</v>
      </c>
      <c r="O229" s="1541">
        <f t="shared" ref="O229:R237" si="9">B229+I229</f>
        <v>0</v>
      </c>
      <c r="P229" s="1541">
        <f t="shared" si="9"/>
        <v>0</v>
      </c>
      <c r="Q229" s="1541">
        <f t="shared" si="9"/>
        <v>154000</v>
      </c>
      <c r="R229" s="1899">
        <f t="shared" si="9"/>
        <v>-154000</v>
      </c>
    </row>
    <row r="230" spans="1:18" x14ac:dyDescent="0.3">
      <c r="A230" s="1855" t="s">
        <v>2471</v>
      </c>
      <c r="B230" s="1462"/>
      <c r="C230" s="1460"/>
      <c r="D230" s="1456">
        <v>73860</v>
      </c>
      <c r="E230" s="1471">
        <v>-73860</v>
      </c>
      <c r="O230" s="1541">
        <f t="shared" si="9"/>
        <v>0</v>
      </c>
      <c r="P230" s="1541">
        <f t="shared" si="9"/>
        <v>0</v>
      </c>
      <c r="Q230" s="1541">
        <f t="shared" si="9"/>
        <v>73860</v>
      </c>
      <c r="R230" s="1899">
        <f t="shared" si="9"/>
        <v>-73860</v>
      </c>
    </row>
    <row r="231" spans="1:18" x14ac:dyDescent="0.3">
      <c r="A231" s="1855" t="s">
        <v>2395</v>
      </c>
      <c r="B231" s="1462"/>
      <c r="C231" s="1460"/>
      <c r="D231" s="1456">
        <v>6459000</v>
      </c>
      <c r="E231" s="1471">
        <v>-6459000</v>
      </c>
      <c r="O231" s="1541">
        <f t="shared" si="9"/>
        <v>0</v>
      </c>
      <c r="P231" s="1541">
        <f t="shared" si="9"/>
        <v>0</v>
      </c>
      <c r="Q231" s="1541">
        <f t="shared" si="9"/>
        <v>6459000</v>
      </c>
      <c r="R231" s="1899">
        <f t="shared" si="9"/>
        <v>-6459000</v>
      </c>
    </row>
    <row r="232" spans="1:18" x14ac:dyDescent="0.3">
      <c r="A232" s="1855" t="s">
        <v>2472</v>
      </c>
      <c r="B232" s="1462"/>
      <c r="C232" s="1456">
        <v>284865</v>
      </c>
      <c r="D232" s="1456">
        <v>284865</v>
      </c>
      <c r="E232" s="1462"/>
      <c r="O232" s="1541">
        <f t="shared" si="9"/>
        <v>0</v>
      </c>
      <c r="P232" s="1541">
        <f t="shared" si="9"/>
        <v>284865</v>
      </c>
      <c r="Q232" s="1541">
        <f t="shared" si="9"/>
        <v>284865</v>
      </c>
      <c r="R232" s="1899">
        <f t="shared" si="9"/>
        <v>0</v>
      </c>
    </row>
    <row r="233" spans="1:18" x14ac:dyDescent="0.3">
      <c r="A233" s="1855" t="s">
        <v>2477</v>
      </c>
      <c r="B233" s="1462"/>
      <c r="C233" s="1456">
        <v>7000</v>
      </c>
      <c r="D233" s="1460"/>
      <c r="E233" s="1896">
        <v>7000</v>
      </c>
      <c r="H233" s="1855" t="s">
        <v>2477</v>
      </c>
      <c r="I233" s="1462"/>
      <c r="J233" s="1460"/>
      <c r="K233" s="1456">
        <v>7000</v>
      </c>
      <c r="L233" s="1471">
        <v>-7000</v>
      </c>
      <c r="O233" s="1541">
        <f t="shared" si="9"/>
        <v>0</v>
      </c>
      <c r="P233" s="1541">
        <f t="shared" si="9"/>
        <v>7000</v>
      </c>
      <c r="Q233" s="1541">
        <f t="shared" si="9"/>
        <v>7000</v>
      </c>
      <c r="R233" s="1899">
        <f t="shared" si="9"/>
        <v>0</v>
      </c>
    </row>
    <row r="234" spans="1:18" x14ac:dyDescent="0.3">
      <c r="A234" s="1855" t="s">
        <v>2473</v>
      </c>
      <c r="B234" s="1462"/>
      <c r="C234" s="1456">
        <v>115623</v>
      </c>
      <c r="D234" s="1460"/>
      <c r="E234" s="1896">
        <v>115623</v>
      </c>
      <c r="O234" s="1541">
        <f t="shared" si="9"/>
        <v>0</v>
      </c>
      <c r="P234" s="1541">
        <f t="shared" si="9"/>
        <v>115623</v>
      </c>
      <c r="Q234" s="1541">
        <f t="shared" si="9"/>
        <v>0</v>
      </c>
      <c r="R234" s="1899">
        <f t="shared" si="9"/>
        <v>115623</v>
      </c>
    </row>
    <row r="235" spans="1:18" x14ac:dyDescent="0.3">
      <c r="A235" s="1855" t="s">
        <v>2407</v>
      </c>
      <c r="B235" s="1462"/>
      <c r="C235" s="1456">
        <v>493501</v>
      </c>
      <c r="D235" s="1456">
        <v>493501</v>
      </c>
      <c r="E235" s="1462"/>
      <c r="O235" s="1541">
        <f t="shared" si="9"/>
        <v>0</v>
      </c>
      <c r="P235" s="1541">
        <f t="shared" si="9"/>
        <v>493501</v>
      </c>
      <c r="Q235" s="1541">
        <f t="shared" si="9"/>
        <v>493501</v>
      </c>
      <c r="R235" s="1899">
        <f t="shared" si="9"/>
        <v>0</v>
      </c>
    </row>
    <row r="236" spans="1:18" x14ac:dyDescent="0.3">
      <c r="A236" s="1855" t="s">
        <v>2475</v>
      </c>
      <c r="B236" s="1462"/>
      <c r="C236" s="1460"/>
      <c r="D236" s="1456">
        <v>152539.22</v>
      </c>
      <c r="E236" s="1471">
        <v>-152539.22</v>
      </c>
      <c r="O236" s="1541">
        <f t="shared" si="9"/>
        <v>0</v>
      </c>
      <c r="P236" s="1541">
        <f t="shared" si="9"/>
        <v>0</v>
      </c>
      <c r="Q236" s="1541">
        <f t="shared" si="9"/>
        <v>152539.22</v>
      </c>
      <c r="R236" s="1899">
        <f t="shared" si="9"/>
        <v>-152539.22</v>
      </c>
    </row>
    <row r="237" spans="1:18" x14ac:dyDescent="0.3">
      <c r="A237" s="1855" t="s">
        <v>2476</v>
      </c>
      <c r="B237" s="1462"/>
      <c r="C237" s="1456">
        <v>15197</v>
      </c>
      <c r="D237" s="1456">
        <v>15197</v>
      </c>
      <c r="E237" s="1462"/>
      <c r="O237" s="1541">
        <f t="shared" si="9"/>
        <v>0</v>
      </c>
      <c r="P237" s="1541">
        <f t="shared" si="9"/>
        <v>15197</v>
      </c>
      <c r="Q237" s="1541">
        <f t="shared" si="9"/>
        <v>15197</v>
      </c>
      <c r="R237" s="1899">
        <f t="shared" si="9"/>
        <v>0</v>
      </c>
    </row>
    <row r="238" spans="1:18" x14ac:dyDescent="0.3">
      <c r="A238" s="1855"/>
      <c r="B238" s="1462"/>
      <c r="C238" s="1456"/>
      <c r="D238" s="1456"/>
      <c r="E238" s="1462"/>
      <c r="O238" s="1541"/>
      <c r="P238" s="1541"/>
      <c r="Q238" s="1541"/>
      <c r="R238" s="1541"/>
    </row>
    <row r="239" spans="1:18" x14ac:dyDescent="0.3">
      <c r="A239" s="1878" t="s">
        <v>3708</v>
      </c>
      <c r="B239" s="1894">
        <v>8.41</v>
      </c>
      <c r="C239" s="1459">
        <v>17700</v>
      </c>
      <c r="D239" s="1459">
        <v>53100</v>
      </c>
      <c r="E239" s="1468">
        <v>-35391.589999999997</v>
      </c>
      <c r="O239" s="1541">
        <f t="shared" ref="O239:R302" si="10">B239+I239</f>
        <v>8.41</v>
      </c>
      <c r="P239" s="1541">
        <f t="shared" si="10"/>
        <v>17700</v>
      </c>
      <c r="Q239" s="1541">
        <f t="shared" si="10"/>
        <v>53100</v>
      </c>
      <c r="R239" s="1899">
        <f t="shared" si="10"/>
        <v>-35391.589999999997</v>
      </c>
    </row>
    <row r="240" spans="1:18" x14ac:dyDescent="0.3">
      <c r="A240" s="1855" t="s">
        <v>3706</v>
      </c>
      <c r="B240" s="1894">
        <v>5417.5</v>
      </c>
      <c r="C240" s="1459">
        <v>54512</v>
      </c>
      <c r="D240" s="1459">
        <v>101709.8</v>
      </c>
      <c r="E240" s="1468">
        <v>-41780.300000000003</v>
      </c>
      <c r="O240" s="1541">
        <f t="shared" si="10"/>
        <v>5417.5</v>
      </c>
      <c r="P240" s="1541">
        <f t="shared" si="10"/>
        <v>54512</v>
      </c>
      <c r="Q240" s="1541">
        <f t="shared" si="10"/>
        <v>101709.8</v>
      </c>
      <c r="R240" s="1899">
        <f t="shared" si="10"/>
        <v>-41780.300000000003</v>
      </c>
    </row>
    <row r="241" spans="1:18" x14ac:dyDescent="0.3">
      <c r="A241" s="1878" t="s">
        <v>3712</v>
      </c>
      <c r="B241" s="1460"/>
      <c r="C241" s="1462"/>
      <c r="D241" s="1459">
        <v>4250</v>
      </c>
      <c r="E241" s="1468">
        <v>-4250</v>
      </c>
      <c r="O241" s="1541">
        <f t="shared" si="10"/>
        <v>0</v>
      </c>
      <c r="P241" s="1541">
        <f t="shared" si="10"/>
        <v>0</v>
      </c>
      <c r="Q241" s="1541">
        <f t="shared" si="10"/>
        <v>4250</v>
      </c>
      <c r="R241" s="1899">
        <f t="shared" si="10"/>
        <v>-4250</v>
      </c>
    </row>
    <row r="242" spans="1:18" x14ac:dyDescent="0.3">
      <c r="A242" s="1855" t="s">
        <v>3718</v>
      </c>
      <c r="B242" s="1460"/>
      <c r="C242" s="1459">
        <v>377600</v>
      </c>
      <c r="D242" s="1459">
        <v>354000</v>
      </c>
      <c r="E242" s="1894">
        <v>23600</v>
      </c>
      <c r="O242" s="1541">
        <f t="shared" si="10"/>
        <v>0</v>
      </c>
      <c r="P242" s="1541">
        <f t="shared" si="10"/>
        <v>377600</v>
      </c>
      <c r="Q242" s="1541">
        <f t="shared" si="10"/>
        <v>354000</v>
      </c>
      <c r="R242" s="1899">
        <f t="shared" si="10"/>
        <v>23600</v>
      </c>
    </row>
    <row r="243" spans="1:18" x14ac:dyDescent="0.3">
      <c r="A243" s="1855" t="s">
        <v>3719</v>
      </c>
      <c r="B243" s="1894">
        <v>27000</v>
      </c>
      <c r="C243" s="1462"/>
      <c r="D243" s="1462"/>
      <c r="E243" s="1894">
        <v>27000</v>
      </c>
      <c r="O243" s="1541">
        <f t="shared" si="10"/>
        <v>27000</v>
      </c>
      <c r="P243" s="1541">
        <f t="shared" si="10"/>
        <v>0</v>
      </c>
      <c r="Q243" s="1541">
        <f t="shared" si="10"/>
        <v>0</v>
      </c>
      <c r="R243" s="1899">
        <f t="shared" si="10"/>
        <v>27000</v>
      </c>
    </row>
    <row r="244" spans="1:18" x14ac:dyDescent="0.3">
      <c r="A244" s="1878" t="s">
        <v>3711</v>
      </c>
      <c r="B244" s="1468">
        <v>-5050</v>
      </c>
      <c r="C244" s="1462"/>
      <c r="D244" s="1462"/>
      <c r="E244" s="1468">
        <v>-5050</v>
      </c>
      <c r="O244" s="1541">
        <f t="shared" si="10"/>
        <v>-5050</v>
      </c>
      <c r="P244" s="1541">
        <f t="shared" si="10"/>
        <v>0</v>
      </c>
      <c r="Q244" s="1541">
        <f t="shared" si="10"/>
        <v>0</v>
      </c>
      <c r="R244" s="1899">
        <f t="shared" si="10"/>
        <v>-5050</v>
      </c>
    </row>
    <row r="245" spans="1:18" x14ac:dyDescent="0.3">
      <c r="A245" s="1878" t="s">
        <v>3709</v>
      </c>
      <c r="B245" s="1468">
        <v>-13205.17</v>
      </c>
      <c r="C245" s="1462"/>
      <c r="D245" s="1462"/>
      <c r="E245" s="1468">
        <v>-13205.17</v>
      </c>
      <c r="O245" s="1541">
        <f t="shared" si="10"/>
        <v>-13205.17</v>
      </c>
      <c r="P245" s="1541">
        <f t="shared" si="10"/>
        <v>0</v>
      </c>
      <c r="Q245" s="1541">
        <f t="shared" si="10"/>
        <v>0</v>
      </c>
      <c r="R245" s="1899">
        <f t="shared" si="10"/>
        <v>-13205.17</v>
      </c>
    </row>
    <row r="246" spans="1:18" x14ac:dyDescent="0.3">
      <c r="A246" s="1878" t="s">
        <v>3717</v>
      </c>
      <c r="B246" s="1460"/>
      <c r="C246" s="1459">
        <v>18000</v>
      </c>
      <c r="D246" s="1462"/>
      <c r="E246" s="1894">
        <v>18000</v>
      </c>
      <c r="O246" s="1541">
        <f t="shared" si="10"/>
        <v>0</v>
      </c>
      <c r="P246" s="1541">
        <f t="shared" si="10"/>
        <v>18000</v>
      </c>
      <c r="Q246" s="1541">
        <f t="shared" si="10"/>
        <v>0</v>
      </c>
      <c r="R246" s="1899">
        <f t="shared" si="10"/>
        <v>18000</v>
      </c>
    </row>
    <row r="247" spans="1:18" x14ac:dyDescent="0.3">
      <c r="A247" s="1855" t="s">
        <v>3710</v>
      </c>
      <c r="B247" s="1468">
        <v>-9500</v>
      </c>
      <c r="C247" s="1462"/>
      <c r="D247" s="1462"/>
      <c r="E247" s="1468">
        <v>-9500</v>
      </c>
      <c r="O247" s="1541">
        <f t="shared" si="10"/>
        <v>-9500</v>
      </c>
      <c r="P247" s="1541">
        <f t="shared" si="10"/>
        <v>0</v>
      </c>
      <c r="Q247" s="1541">
        <f t="shared" si="10"/>
        <v>0</v>
      </c>
      <c r="R247" s="1899">
        <f t="shared" si="10"/>
        <v>-9500</v>
      </c>
    </row>
    <row r="248" spans="1:18" x14ac:dyDescent="0.3">
      <c r="A248" s="1855" t="s">
        <v>3707</v>
      </c>
      <c r="B248" s="1468">
        <v>-15899.38</v>
      </c>
      <c r="C248" s="1459">
        <v>53422</v>
      </c>
      <c r="D248" s="1459">
        <v>76973</v>
      </c>
      <c r="E248" s="1468">
        <v>-39450.379999999997</v>
      </c>
      <c r="O248" s="1541">
        <f t="shared" si="10"/>
        <v>-15899.38</v>
      </c>
      <c r="P248" s="1541">
        <f t="shared" si="10"/>
        <v>53422</v>
      </c>
      <c r="Q248" s="1541">
        <f t="shared" si="10"/>
        <v>76973</v>
      </c>
      <c r="R248" s="1899">
        <f t="shared" si="10"/>
        <v>-39450.379999999997</v>
      </c>
    </row>
    <row r="249" spans="1:18" x14ac:dyDescent="0.3">
      <c r="A249" s="1855"/>
      <c r="B249" s="1468"/>
      <c r="C249" s="1459"/>
      <c r="D249" s="1459"/>
      <c r="E249" s="1468"/>
      <c r="O249" s="1541"/>
      <c r="P249" s="1541"/>
      <c r="Q249" s="1541"/>
      <c r="R249" s="1541"/>
    </row>
    <row r="250" spans="1:18" x14ac:dyDescent="0.3">
      <c r="A250" s="1850" t="s">
        <v>2389</v>
      </c>
      <c r="B250" s="1882">
        <v>-60000</v>
      </c>
      <c r="C250" s="1465">
        <v>431500</v>
      </c>
      <c r="D250" s="1465">
        <v>439000</v>
      </c>
      <c r="E250" s="1882">
        <v>-67500</v>
      </c>
      <c r="O250" s="1541">
        <f t="shared" si="10"/>
        <v>-60000</v>
      </c>
      <c r="P250" s="1541">
        <f t="shared" si="10"/>
        <v>431500</v>
      </c>
      <c r="Q250" s="1541">
        <f t="shared" si="10"/>
        <v>439000</v>
      </c>
      <c r="R250" s="1541">
        <f t="shared" si="10"/>
        <v>-67500</v>
      </c>
    </row>
    <row r="251" spans="1:18" x14ac:dyDescent="0.3">
      <c r="A251" s="1878" t="s">
        <v>3682</v>
      </c>
      <c r="B251" s="1468">
        <v>-39000</v>
      </c>
      <c r="C251" s="1459">
        <v>19500</v>
      </c>
      <c r="D251" s="1462"/>
      <c r="E251" s="1468">
        <v>-19500</v>
      </c>
      <c r="O251" s="1541">
        <f t="shared" si="10"/>
        <v>-39000</v>
      </c>
      <c r="P251" s="1541">
        <f t="shared" si="10"/>
        <v>19500</v>
      </c>
      <c r="Q251" s="1541">
        <f t="shared" si="10"/>
        <v>0</v>
      </c>
      <c r="R251" s="1541">
        <f t="shared" si="10"/>
        <v>-19500</v>
      </c>
    </row>
    <row r="252" spans="1:18" x14ac:dyDescent="0.3">
      <c r="A252" s="1878" t="s">
        <v>3683</v>
      </c>
      <c r="B252" s="1468">
        <v>-21000</v>
      </c>
      <c r="C252" s="1459">
        <v>212000</v>
      </c>
      <c r="D252" s="1459">
        <v>189000</v>
      </c>
      <c r="E252" s="1894">
        <v>2000</v>
      </c>
      <c r="O252" s="1541">
        <f t="shared" si="10"/>
        <v>-21000</v>
      </c>
      <c r="P252" s="1541">
        <f t="shared" si="10"/>
        <v>212000</v>
      </c>
      <c r="Q252" s="1541">
        <f t="shared" si="10"/>
        <v>189000</v>
      </c>
      <c r="R252" s="1541">
        <f t="shared" si="10"/>
        <v>2000</v>
      </c>
    </row>
    <row r="253" spans="1:18" x14ac:dyDescent="0.3">
      <c r="A253" s="1878" t="s">
        <v>3684</v>
      </c>
      <c r="B253" s="1460"/>
      <c r="C253" s="1459">
        <v>200000</v>
      </c>
      <c r="D253" s="1459">
        <v>250000</v>
      </c>
      <c r="E253" s="1468">
        <v>-50000</v>
      </c>
      <c r="O253" s="1541">
        <f t="shared" si="10"/>
        <v>0</v>
      </c>
      <c r="P253" s="1541">
        <f t="shared" si="10"/>
        <v>200000</v>
      </c>
      <c r="Q253" s="1541">
        <f t="shared" si="10"/>
        <v>250000</v>
      </c>
      <c r="R253" s="1541">
        <f t="shared" si="10"/>
        <v>-50000</v>
      </c>
    </row>
    <row r="254" spans="1:18" x14ac:dyDescent="0.3">
      <c r="A254" s="1851" t="s">
        <v>2386</v>
      </c>
      <c r="B254" s="1882">
        <v>-34984.339999999997</v>
      </c>
      <c r="C254" s="1465">
        <v>9568</v>
      </c>
      <c r="D254" s="1470"/>
      <c r="E254" s="1882">
        <v>-25416.34</v>
      </c>
      <c r="O254" s="1541">
        <f t="shared" si="10"/>
        <v>-34984.339999999997</v>
      </c>
      <c r="P254" s="1541">
        <f t="shared" si="10"/>
        <v>9568</v>
      </c>
      <c r="Q254" s="1541">
        <f t="shared" si="10"/>
        <v>0</v>
      </c>
      <c r="R254" s="1541">
        <f t="shared" si="10"/>
        <v>-25416.34</v>
      </c>
    </row>
    <row r="255" spans="1:18" x14ac:dyDescent="0.3">
      <c r="A255" s="1878" t="s">
        <v>3732</v>
      </c>
      <c r="B255" s="1468">
        <v>-9568.34</v>
      </c>
      <c r="C255" s="1462"/>
      <c r="D255" s="1462"/>
      <c r="E255" s="1468">
        <v>-9568.34</v>
      </c>
      <c r="O255" s="1541">
        <f t="shared" si="10"/>
        <v>-9568.34</v>
      </c>
      <c r="P255" s="1541">
        <f t="shared" si="10"/>
        <v>0</v>
      </c>
      <c r="Q255" s="1541">
        <f t="shared" si="10"/>
        <v>0</v>
      </c>
      <c r="R255" s="1541">
        <f t="shared" si="10"/>
        <v>-9568.34</v>
      </c>
    </row>
    <row r="256" spans="1:18" x14ac:dyDescent="0.3">
      <c r="A256" s="1878" t="s">
        <v>3733</v>
      </c>
      <c r="B256" s="1468">
        <v>-25416</v>
      </c>
      <c r="C256" s="1459">
        <v>9568</v>
      </c>
      <c r="D256" s="1462"/>
      <c r="E256" s="1468">
        <v>-15848</v>
      </c>
      <c r="O256" s="1541">
        <f t="shared" si="10"/>
        <v>-25416</v>
      </c>
      <c r="P256" s="1541">
        <f t="shared" si="10"/>
        <v>9568</v>
      </c>
      <c r="Q256" s="1541">
        <f t="shared" si="10"/>
        <v>0</v>
      </c>
      <c r="R256" s="1541">
        <f t="shared" si="10"/>
        <v>-15848</v>
      </c>
    </row>
    <row r="257" spans="1:18" x14ac:dyDescent="0.3">
      <c r="A257" s="1878"/>
      <c r="B257" s="1468"/>
      <c r="C257" s="1459"/>
      <c r="D257" s="1462"/>
      <c r="E257" s="1468"/>
      <c r="O257" s="1541"/>
      <c r="P257" s="1541"/>
      <c r="Q257" s="1541"/>
      <c r="R257" s="1541"/>
    </row>
    <row r="258" spans="1:18" x14ac:dyDescent="0.3">
      <c r="A258" s="1852" t="s">
        <v>2387</v>
      </c>
      <c r="B258" s="1471">
        <v>-92500</v>
      </c>
      <c r="C258" s="1460"/>
      <c r="D258" s="1456">
        <f>18000+90000</f>
        <v>108000</v>
      </c>
      <c r="E258" s="1471">
        <f>-110500-90000</f>
        <v>-200500</v>
      </c>
      <c r="O258" s="1541">
        <f t="shared" si="10"/>
        <v>-92500</v>
      </c>
      <c r="P258" s="1541">
        <f t="shared" si="10"/>
        <v>0</v>
      </c>
      <c r="Q258" s="1541">
        <f t="shared" si="10"/>
        <v>108000</v>
      </c>
      <c r="R258" s="1541">
        <f t="shared" si="10"/>
        <v>-200500</v>
      </c>
    </row>
    <row r="259" spans="1:18" x14ac:dyDescent="0.3">
      <c r="A259" s="1852" t="s">
        <v>1807</v>
      </c>
      <c r="B259" s="1471">
        <v>-133090.96</v>
      </c>
      <c r="C259" s="1460"/>
      <c r="D259" s="1460"/>
      <c r="E259" s="1471">
        <v>-133090.96</v>
      </c>
      <c r="O259" s="1541">
        <f t="shared" si="10"/>
        <v>-133090.96</v>
      </c>
      <c r="P259" s="1541">
        <f t="shared" si="10"/>
        <v>0</v>
      </c>
      <c r="Q259" s="1541">
        <f t="shared" si="10"/>
        <v>0</v>
      </c>
      <c r="R259" s="1541">
        <f t="shared" si="10"/>
        <v>-133090.96</v>
      </c>
    </row>
    <row r="260" spans="1:18" x14ac:dyDescent="0.3">
      <c r="A260" s="1852" t="s">
        <v>2388</v>
      </c>
      <c r="B260" s="1471">
        <v>-0.24</v>
      </c>
      <c r="C260" s="1460"/>
      <c r="D260" s="1460"/>
      <c r="E260" s="1471">
        <v>-0.24</v>
      </c>
      <c r="O260" s="1541">
        <f t="shared" si="10"/>
        <v>-0.24</v>
      </c>
      <c r="P260" s="1541">
        <f t="shared" si="10"/>
        <v>0</v>
      </c>
      <c r="Q260" s="1541">
        <f t="shared" si="10"/>
        <v>0</v>
      </c>
      <c r="R260" s="1541">
        <f t="shared" si="10"/>
        <v>-0.24</v>
      </c>
    </row>
    <row r="261" spans="1:18" x14ac:dyDescent="0.3">
      <c r="A261" s="1852"/>
      <c r="B261" s="1471"/>
      <c r="C261" s="1460"/>
      <c r="D261" s="1460"/>
      <c r="E261" s="1471"/>
      <c r="O261" s="1541"/>
      <c r="P261" s="1541"/>
      <c r="Q261" s="1541"/>
      <c r="R261" s="1541"/>
    </row>
    <row r="262" spans="1:18" x14ac:dyDescent="0.3">
      <c r="A262" s="1467" t="s">
        <v>2479</v>
      </c>
      <c r="B262" s="1466"/>
      <c r="C262" s="1465">
        <v>155862567.74000001</v>
      </c>
      <c r="D262" s="1465">
        <v>776596</v>
      </c>
      <c r="E262" s="1900">
        <v>155085971.74000001</v>
      </c>
      <c r="H262" s="1467" t="s">
        <v>2479</v>
      </c>
      <c r="I262" s="1466"/>
      <c r="J262" s="1465">
        <v>24119732</v>
      </c>
      <c r="K262" s="1470"/>
      <c r="L262" s="1900">
        <v>24119732</v>
      </c>
      <c r="O262" s="1541">
        <f t="shared" si="10"/>
        <v>0</v>
      </c>
      <c r="P262" s="1541">
        <f t="shared" si="10"/>
        <v>179982299.74000001</v>
      </c>
      <c r="Q262" s="1541">
        <f t="shared" si="10"/>
        <v>776596</v>
      </c>
      <c r="R262" s="1541">
        <f t="shared" si="10"/>
        <v>179205703.74000001</v>
      </c>
    </row>
    <row r="263" spans="1:18" x14ac:dyDescent="0.3">
      <c r="A263" s="1463" t="s">
        <v>2480</v>
      </c>
      <c r="B263" s="1462"/>
      <c r="C263" s="1459">
        <v>8094752.9299999997</v>
      </c>
      <c r="D263" s="1462"/>
      <c r="E263" s="1896">
        <v>8094752.9299999997</v>
      </c>
      <c r="H263" s="1461" t="s">
        <v>2483</v>
      </c>
      <c r="I263" s="1460"/>
      <c r="J263" s="1459">
        <v>387016</v>
      </c>
      <c r="K263" s="1462"/>
      <c r="L263" s="1894">
        <v>387016</v>
      </c>
      <c r="O263" s="1541">
        <f t="shared" si="10"/>
        <v>0</v>
      </c>
      <c r="P263" s="1541">
        <f t="shared" si="10"/>
        <v>8481768.9299999997</v>
      </c>
      <c r="Q263" s="1541">
        <f t="shared" si="10"/>
        <v>0</v>
      </c>
      <c r="R263" s="1541">
        <f t="shared" si="10"/>
        <v>8481768.9299999997</v>
      </c>
    </row>
    <row r="264" spans="1:18" x14ac:dyDescent="0.3">
      <c r="A264" s="1463" t="s">
        <v>2481</v>
      </c>
      <c r="B264" s="1854"/>
      <c r="C264" s="1849">
        <v>4115880</v>
      </c>
      <c r="D264" s="1849">
        <v>10000</v>
      </c>
      <c r="E264" s="1897">
        <v>4105880</v>
      </c>
      <c r="H264" s="1461" t="s">
        <v>2480</v>
      </c>
      <c r="I264" s="1460"/>
      <c r="J264" s="1459">
        <v>155000</v>
      </c>
      <c r="K264" s="1462"/>
      <c r="L264" s="1894">
        <v>155000</v>
      </c>
      <c r="O264" s="1541">
        <f t="shared" si="10"/>
        <v>0</v>
      </c>
      <c r="P264" s="1541">
        <f t="shared" si="10"/>
        <v>4270880</v>
      </c>
      <c r="Q264" s="1541">
        <f t="shared" si="10"/>
        <v>10000</v>
      </c>
      <c r="R264" s="1541">
        <f t="shared" si="10"/>
        <v>4260880</v>
      </c>
    </row>
    <row r="265" spans="1:18" x14ac:dyDescent="0.3">
      <c r="A265" s="1855" t="s">
        <v>3685</v>
      </c>
      <c r="B265" s="1462"/>
      <c r="C265" s="1456">
        <v>176500</v>
      </c>
      <c r="D265" s="1460"/>
      <c r="E265" s="1896">
        <v>176500</v>
      </c>
      <c r="H265" s="1461" t="s">
        <v>2497</v>
      </c>
      <c r="I265" s="1460"/>
      <c r="J265" s="1459">
        <v>23577716</v>
      </c>
      <c r="K265" s="1462"/>
      <c r="L265" s="1894">
        <v>23577716</v>
      </c>
      <c r="O265" s="1541">
        <f t="shared" si="10"/>
        <v>0</v>
      </c>
      <c r="P265" s="1541">
        <f t="shared" si="10"/>
        <v>23754216</v>
      </c>
      <c r="Q265" s="1541">
        <f t="shared" si="10"/>
        <v>0</v>
      </c>
      <c r="R265" s="1541">
        <f t="shared" si="10"/>
        <v>23754216</v>
      </c>
    </row>
    <row r="266" spans="1:18" x14ac:dyDescent="0.3">
      <c r="A266" s="1855" t="s">
        <v>3686</v>
      </c>
      <c r="B266" s="1462"/>
      <c r="C266" s="1456">
        <v>409380</v>
      </c>
      <c r="D266" s="1456">
        <v>10000</v>
      </c>
      <c r="E266" s="1896">
        <v>399380</v>
      </c>
      <c r="O266" s="1541">
        <f t="shared" si="10"/>
        <v>0</v>
      </c>
      <c r="P266" s="1541">
        <f t="shared" si="10"/>
        <v>409380</v>
      </c>
      <c r="Q266" s="1541">
        <f t="shared" si="10"/>
        <v>10000</v>
      </c>
      <c r="R266" s="1541">
        <f t="shared" si="10"/>
        <v>399380</v>
      </c>
    </row>
    <row r="267" spans="1:18" x14ac:dyDescent="0.3">
      <c r="A267" s="1855" t="s">
        <v>3687</v>
      </c>
      <c r="B267" s="1462"/>
      <c r="C267" s="1456">
        <v>3530000</v>
      </c>
      <c r="D267" s="1460"/>
      <c r="E267" s="1896">
        <v>3530000</v>
      </c>
      <c r="O267" s="1541">
        <f t="shared" si="10"/>
        <v>0</v>
      </c>
      <c r="P267" s="1541">
        <f t="shared" si="10"/>
        <v>3530000</v>
      </c>
      <c r="Q267" s="1541">
        <f t="shared" si="10"/>
        <v>0</v>
      </c>
      <c r="R267" s="1541">
        <f t="shared" si="10"/>
        <v>3530000</v>
      </c>
    </row>
    <row r="268" spans="1:18" x14ac:dyDescent="0.3">
      <c r="A268" s="1461" t="s">
        <v>2482</v>
      </c>
      <c r="B268" s="1460"/>
      <c r="C268" s="1459">
        <v>205950</v>
      </c>
      <c r="D268" s="1462"/>
      <c r="E268" s="1894">
        <v>205950</v>
      </c>
      <c r="O268" s="1541">
        <f t="shared" si="10"/>
        <v>0</v>
      </c>
      <c r="P268" s="1541">
        <f t="shared" si="10"/>
        <v>205950</v>
      </c>
      <c r="Q268" s="1541">
        <f t="shared" si="10"/>
        <v>0</v>
      </c>
      <c r="R268" s="1541">
        <f t="shared" si="10"/>
        <v>205950</v>
      </c>
    </row>
    <row r="269" spans="1:18" x14ac:dyDescent="0.3">
      <c r="A269" s="1461" t="s">
        <v>2484</v>
      </c>
      <c r="B269" s="1460"/>
      <c r="C269" s="1459">
        <v>16284</v>
      </c>
      <c r="D269" s="1462"/>
      <c r="E269" s="1894">
        <v>16284</v>
      </c>
      <c r="O269" s="1541">
        <f t="shared" si="10"/>
        <v>0</v>
      </c>
      <c r="P269" s="1541">
        <f t="shared" si="10"/>
        <v>16284</v>
      </c>
      <c r="Q269" s="1541">
        <f t="shared" si="10"/>
        <v>0</v>
      </c>
      <c r="R269" s="1541">
        <f t="shared" si="10"/>
        <v>16284</v>
      </c>
    </row>
    <row r="270" spans="1:18" x14ac:dyDescent="0.3">
      <c r="A270" s="1461" t="s">
        <v>2485</v>
      </c>
      <c r="B270" s="1460"/>
      <c r="C270" s="1459">
        <v>518750</v>
      </c>
      <c r="D270" s="1462"/>
      <c r="E270" s="1894">
        <v>518750</v>
      </c>
      <c r="O270" s="1541">
        <f t="shared" si="10"/>
        <v>0</v>
      </c>
      <c r="P270" s="1541">
        <f t="shared" si="10"/>
        <v>518750</v>
      </c>
      <c r="Q270" s="1541">
        <f t="shared" si="10"/>
        <v>0</v>
      </c>
      <c r="R270" s="1541">
        <f t="shared" si="10"/>
        <v>518750</v>
      </c>
    </row>
    <row r="271" spans="1:18" x14ac:dyDescent="0.3">
      <c r="A271" s="1461" t="s">
        <v>2486</v>
      </c>
      <c r="B271" s="1460"/>
      <c r="C271" s="1459">
        <v>2736581</v>
      </c>
      <c r="D271" s="1459">
        <v>735590</v>
      </c>
      <c r="E271" s="1894">
        <v>2000991</v>
      </c>
      <c r="O271" s="1541">
        <f t="shared" si="10"/>
        <v>0</v>
      </c>
      <c r="P271" s="1541">
        <f t="shared" si="10"/>
        <v>2736581</v>
      </c>
      <c r="Q271" s="1541">
        <f t="shared" si="10"/>
        <v>735590</v>
      </c>
      <c r="R271" s="1541">
        <f t="shared" si="10"/>
        <v>2000991</v>
      </c>
    </row>
    <row r="272" spans="1:18" x14ac:dyDescent="0.3">
      <c r="A272" s="1461" t="s">
        <v>2487</v>
      </c>
      <c r="B272" s="1460"/>
      <c r="C272" s="1459">
        <v>2313185</v>
      </c>
      <c r="D272" s="1462"/>
      <c r="E272" s="1894">
        <v>2313185</v>
      </c>
      <c r="O272" s="1541">
        <f t="shared" si="10"/>
        <v>0</v>
      </c>
      <c r="P272" s="1541">
        <f t="shared" si="10"/>
        <v>2313185</v>
      </c>
      <c r="Q272" s="1541">
        <f t="shared" si="10"/>
        <v>0</v>
      </c>
      <c r="R272" s="1541">
        <f t="shared" si="10"/>
        <v>2313185</v>
      </c>
    </row>
    <row r="273" spans="1:18" x14ac:dyDescent="0.3">
      <c r="A273" s="1461" t="s">
        <v>2488</v>
      </c>
      <c r="B273" s="1460"/>
      <c r="C273" s="1459">
        <v>349404</v>
      </c>
      <c r="D273" s="1462"/>
      <c r="E273" s="1894">
        <v>349404</v>
      </c>
      <c r="O273" s="1541">
        <f t="shared" si="10"/>
        <v>0</v>
      </c>
      <c r="P273" s="1541">
        <f t="shared" si="10"/>
        <v>349404</v>
      </c>
      <c r="Q273" s="1541">
        <f t="shared" si="10"/>
        <v>0</v>
      </c>
      <c r="R273" s="1541">
        <f t="shared" si="10"/>
        <v>349404</v>
      </c>
    </row>
    <row r="274" spans="1:18" x14ac:dyDescent="0.3">
      <c r="A274" s="1461" t="s">
        <v>2489</v>
      </c>
      <c r="B274" s="1460"/>
      <c r="C274" s="1459">
        <v>6000</v>
      </c>
      <c r="D274" s="1462"/>
      <c r="E274" s="1894">
        <v>6000</v>
      </c>
      <c r="O274" s="1541">
        <f t="shared" si="10"/>
        <v>0</v>
      </c>
      <c r="P274" s="1541">
        <f t="shared" si="10"/>
        <v>6000</v>
      </c>
      <c r="Q274" s="1541">
        <f t="shared" si="10"/>
        <v>0</v>
      </c>
      <c r="R274" s="1541">
        <f t="shared" si="10"/>
        <v>6000</v>
      </c>
    </row>
    <row r="275" spans="1:18" x14ac:dyDescent="0.3">
      <c r="A275" s="1461" t="s">
        <v>2490</v>
      </c>
      <c r="B275" s="1460"/>
      <c r="C275" s="1459">
        <v>10464613.300000001</v>
      </c>
      <c r="D275" s="1462"/>
      <c r="E275" s="1894">
        <v>10464613.300000001</v>
      </c>
      <c r="O275" s="1541">
        <f t="shared" si="10"/>
        <v>0</v>
      </c>
      <c r="P275" s="1541">
        <f t="shared" si="10"/>
        <v>10464613.300000001</v>
      </c>
      <c r="Q275" s="1541">
        <f t="shared" si="10"/>
        <v>0</v>
      </c>
      <c r="R275" s="1541">
        <f t="shared" si="10"/>
        <v>10464613.300000001</v>
      </c>
    </row>
    <row r="276" spans="1:18" x14ac:dyDescent="0.3">
      <c r="A276" s="1461" t="s">
        <v>2491</v>
      </c>
      <c r="B276" s="1460"/>
      <c r="C276" s="1459">
        <v>156.84</v>
      </c>
      <c r="D276" s="1462"/>
      <c r="E276" s="1894">
        <v>156.84</v>
      </c>
      <c r="O276" s="1541">
        <f t="shared" si="10"/>
        <v>0</v>
      </c>
      <c r="P276" s="1541">
        <f t="shared" si="10"/>
        <v>156.84</v>
      </c>
      <c r="Q276" s="1541">
        <f t="shared" si="10"/>
        <v>0</v>
      </c>
      <c r="R276" s="1541">
        <f t="shared" si="10"/>
        <v>156.84</v>
      </c>
    </row>
    <row r="277" spans="1:18" x14ac:dyDescent="0.3">
      <c r="A277" s="1461" t="s">
        <v>2492</v>
      </c>
      <c r="B277" s="1460"/>
      <c r="C277" s="1459">
        <v>3502.77</v>
      </c>
      <c r="D277" s="1462"/>
      <c r="E277" s="1894">
        <v>3502.77</v>
      </c>
      <c r="O277" s="1541">
        <f t="shared" si="10"/>
        <v>0</v>
      </c>
      <c r="P277" s="1541">
        <f t="shared" si="10"/>
        <v>3502.77</v>
      </c>
      <c r="Q277" s="1541">
        <f t="shared" si="10"/>
        <v>0</v>
      </c>
      <c r="R277" s="1541">
        <f t="shared" si="10"/>
        <v>3502.77</v>
      </c>
    </row>
    <row r="278" spans="1:18" x14ac:dyDescent="0.3">
      <c r="A278" s="1461" t="s">
        <v>2493</v>
      </c>
      <c r="B278" s="1460"/>
      <c r="C278" s="1459">
        <v>231303.91</v>
      </c>
      <c r="D278" s="1462"/>
      <c r="E278" s="1894">
        <v>231303.91</v>
      </c>
      <c r="O278" s="1541">
        <f t="shared" si="10"/>
        <v>0</v>
      </c>
      <c r="P278" s="1541">
        <f t="shared" si="10"/>
        <v>231303.91</v>
      </c>
      <c r="Q278" s="1541">
        <f t="shared" si="10"/>
        <v>0</v>
      </c>
      <c r="R278" s="1541">
        <f t="shared" si="10"/>
        <v>231303.91</v>
      </c>
    </row>
    <row r="279" spans="1:18" x14ac:dyDescent="0.3">
      <c r="A279" s="1461" t="s">
        <v>2494</v>
      </c>
      <c r="B279" s="1460"/>
      <c r="C279" s="1459">
        <v>903.4</v>
      </c>
      <c r="D279" s="1462"/>
      <c r="E279" s="1894">
        <v>903.4</v>
      </c>
      <c r="O279" s="1541">
        <f t="shared" si="10"/>
        <v>0</v>
      </c>
      <c r="P279" s="1541">
        <f t="shared" si="10"/>
        <v>903.4</v>
      </c>
      <c r="Q279" s="1541">
        <f t="shared" si="10"/>
        <v>0</v>
      </c>
      <c r="R279" s="1541">
        <f t="shared" si="10"/>
        <v>903.4</v>
      </c>
    </row>
    <row r="280" spans="1:18" x14ac:dyDescent="0.3">
      <c r="A280" s="1461" t="s">
        <v>2495</v>
      </c>
      <c r="B280" s="1460"/>
      <c r="C280" s="1459">
        <v>18069</v>
      </c>
      <c r="D280" s="1462"/>
      <c r="E280" s="1894">
        <v>18069</v>
      </c>
      <c r="O280" s="1541">
        <f t="shared" si="10"/>
        <v>0</v>
      </c>
      <c r="P280" s="1541">
        <f t="shared" si="10"/>
        <v>18069</v>
      </c>
      <c r="Q280" s="1541">
        <f t="shared" si="10"/>
        <v>0</v>
      </c>
      <c r="R280" s="1541">
        <f t="shared" si="10"/>
        <v>18069</v>
      </c>
    </row>
    <row r="281" spans="1:18" x14ac:dyDescent="0.3">
      <c r="A281" s="1461" t="s">
        <v>2496</v>
      </c>
      <c r="B281" s="1460"/>
      <c r="C281" s="1459">
        <v>620000</v>
      </c>
      <c r="D281" s="1462"/>
      <c r="E281" s="1894">
        <v>620000</v>
      </c>
      <c r="O281" s="1541">
        <f t="shared" si="10"/>
        <v>0</v>
      </c>
      <c r="P281" s="1541">
        <f t="shared" si="10"/>
        <v>620000</v>
      </c>
      <c r="Q281" s="1541">
        <f t="shared" si="10"/>
        <v>0</v>
      </c>
      <c r="R281" s="1541">
        <f t="shared" si="10"/>
        <v>620000</v>
      </c>
    </row>
    <row r="282" spans="1:18" x14ac:dyDescent="0.3">
      <c r="A282" s="1461" t="s">
        <v>2498</v>
      </c>
      <c r="B282" s="1460"/>
      <c r="C282" s="1459">
        <v>121446520.59</v>
      </c>
      <c r="D282" s="1459">
        <v>31006</v>
      </c>
      <c r="E282" s="1894">
        <v>121415514.59</v>
      </c>
      <c r="O282" s="1541">
        <f t="shared" si="10"/>
        <v>0</v>
      </c>
      <c r="P282" s="1541">
        <f t="shared" si="10"/>
        <v>121446520.59</v>
      </c>
      <c r="Q282" s="1541">
        <f t="shared" si="10"/>
        <v>31006</v>
      </c>
      <c r="R282" s="1541">
        <f t="shared" si="10"/>
        <v>121415514.59</v>
      </c>
    </row>
    <row r="283" spans="1:18" x14ac:dyDescent="0.3">
      <c r="A283" s="1461" t="s">
        <v>2499</v>
      </c>
      <c r="B283" s="1460"/>
      <c r="C283" s="1459">
        <v>1428763</v>
      </c>
      <c r="D283" s="1462"/>
      <c r="E283" s="1894">
        <v>1428763</v>
      </c>
      <c r="O283" s="1541">
        <f t="shared" si="10"/>
        <v>0</v>
      </c>
      <c r="P283" s="1541">
        <f t="shared" si="10"/>
        <v>1428763</v>
      </c>
      <c r="Q283" s="1541">
        <f t="shared" si="10"/>
        <v>0</v>
      </c>
      <c r="R283" s="1541">
        <f t="shared" si="10"/>
        <v>1428763</v>
      </c>
    </row>
    <row r="284" spans="1:18" x14ac:dyDescent="0.3">
      <c r="A284" s="1461" t="s">
        <v>2500</v>
      </c>
      <c r="B284" s="1460"/>
      <c r="C284" s="1459">
        <v>87948</v>
      </c>
      <c r="D284" s="1462"/>
      <c r="E284" s="1894">
        <v>87948</v>
      </c>
      <c r="O284" s="1541">
        <f t="shared" si="10"/>
        <v>0</v>
      </c>
      <c r="P284" s="1541">
        <f t="shared" si="10"/>
        <v>87948</v>
      </c>
      <c r="Q284" s="1541">
        <f t="shared" si="10"/>
        <v>0</v>
      </c>
      <c r="R284" s="1541">
        <f t="shared" si="10"/>
        <v>87948</v>
      </c>
    </row>
    <row r="285" spans="1:18" x14ac:dyDescent="0.3">
      <c r="A285" s="1461" t="s">
        <v>2501</v>
      </c>
      <c r="B285" s="1460"/>
      <c r="C285" s="1459">
        <v>15000</v>
      </c>
      <c r="D285" s="1462"/>
      <c r="E285" s="1894">
        <v>15000</v>
      </c>
      <c r="O285" s="1541">
        <f t="shared" si="10"/>
        <v>0</v>
      </c>
      <c r="P285" s="1541">
        <f t="shared" si="10"/>
        <v>15000</v>
      </c>
      <c r="Q285" s="1541">
        <f t="shared" si="10"/>
        <v>0</v>
      </c>
      <c r="R285" s="1541">
        <f t="shared" si="10"/>
        <v>15000</v>
      </c>
    </row>
    <row r="286" spans="1:18" x14ac:dyDescent="0.3">
      <c r="A286" s="1461" t="s">
        <v>2502</v>
      </c>
      <c r="B286" s="1460"/>
      <c r="C286" s="1459">
        <v>2602000</v>
      </c>
      <c r="D286" s="1462"/>
      <c r="E286" s="1894">
        <v>2602000</v>
      </c>
      <c r="O286" s="1541">
        <f t="shared" si="10"/>
        <v>0</v>
      </c>
      <c r="P286" s="1541">
        <f t="shared" si="10"/>
        <v>2602000</v>
      </c>
      <c r="Q286" s="1541">
        <f t="shared" si="10"/>
        <v>0</v>
      </c>
      <c r="R286" s="1541">
        <f t="shared" si="10"/>
        <v>2602000</v>
      </c>
    </row>
    <row r="287" spans="1:18" x14ac:dyDescent="0.3">
      <c r="A287" s="1461" t="s">
        <v>2503</v>
      </c>
      <c r="B287" s="1460"/>
      <c r="C287" s="1459">
        <v>587000</v>
      </c>
      <c r="D287" s="1462"/>
      <c r="E287" s="1894">
        <v>587000</v>
      </c>
      <c r="O287" s="1541">
        <f t="shared" si="10"/>
        <v>0</v>
      </c>
      <c r="P287" s="1541">
        <f t="shared" si="10"/>
        <v>587000</v>
      </c>
      <c r="Q287" s="1541">
        <f t="shared" si="10"/>
        <v>0</v>
      </c>
      <c r="R287" s="1541">
        <f t="shared" si="10"/>
        <v>587000</v>
      </c>
    </row>
    <row r="288" spans="1:18" x14ac:dyDescent="0.3">
      <c r="A288" s="1467" t="s">
        <v>2183</v>
      </c>
      <c r="B288" s="1900">
        <v>5833873.1699999999</v>
      </c>
      <c r="C288" s="1465">
        <v>220075627.72999999</v>
      </c>
      <c r="D288" s="1465">
        <v>216942064.77000001</v>
      </c>
      <c r="E288" s="1900">
        <v>8967436.1300000008</v>
      </c>
      <c r="H288" s="1467" t="s">
        <v>2183</v>
      </c>
      <c r="I288" s="1900">
        <v>2438640.06</v>
      </c>
      <c r="J288" s="1470"/>
      <c r="K288" s="1470"/>
      <c r="L288" s="1900">
        <v>2438640.06</v>
      </c>
      <c r="O288" s="1541">
        <f t="shared" si="10"/>
        <v>8272513.2300000004</v>
      </c>
      <c r="P288" s="1541">
        <f t="shared" si="10"/>
        <v>220075627.72999999</v>
      </c>
      <c r="Q288" s="1541">
        <f t="shared" si="10"/>
        <v>216942064.77000001</v>
      </c>
      <c r="R288" s="1541">
        <f t="shared" si="10"/>
        <v>11406076.190000001</v>
      </c>
    </row>
    <row r="289" spans="1:18" x14ac:dyDescent="0.3">
      <c r="A289" s="1461" t="s">
        <v>2226</v>
      </c>
      <c r="B289" s="1894">
        <v>118906.54</v>
      </c>
      <c r="C289" s="1462"/>
      <c r="D289" s="1462"/>
      <c r="E289" s="1894">
        <v>118906.54</v>
      </c>
      <c r="H289" s="1461" t="s">
        <v>2226</v>
      </c>
      <c r="I289" s="1468">
        <v>-52553.31</v>
      </c>
      <c r="J289" s="1462"/>
      <c r="K289" s="1462"/>
      <c r="L289" s="1468">
        <v>-52553.31</v>
      </c>
      <c r="O289" s="1541">
        <f t="shared" si="10"/>
        <v>66353.23</v>
      </c>
      <c r="P289" s="1541">
        <f t="shared" si="10"/>
        <v>0</v>
      </c>
      <c r="Q289" s="1541">
        <f t="shared" si="10"/>
        <v>0</v>
      </c>
      <c r="R289" s="1541">
        <f t="shared" si="10"/>
        <v>66353.23</v>
      </c>
    </row>
    <row r="290" spans="1:18" x14ac:dyDescent="0.3">
      <c r="A290" s="1463" t="s">
        <v>2225</v>
      </c>
      <c r="B290" s="1897">
        <v>363826.64</v>
      </c>
      <c r="C290" s="1849">
        <v>4355000</v>
      </c>
      <c r="D290" s="1854"/>
      <c r="E290" s="1897">
        <v>4718826.6399999997</v>
      </c>
      <c r="O290" s="1541">
        <f t="shared" si="10"/>
        <v>363826.64</v>
      </c>
      <c r="P290" s="1541">
        <f t="shared" si="10"/>
        <v>4355000</v>
      </c>
      <c r="Q290" s="1541">
        <f t="shared" si="10"/>
        <v>0</v>
      </c>
      <c r="R290" s="1541">
        <f t="shared" si="10"/>
        <v>4718826.6399999997</v>
      </c>
    </row>
    <row r="291" spans="1:18" x14ac:dyDescent="0.3">
      <c r="A291" s="1852" t="s">
        <v>2504</v>
      </c>
      <c r="B291" s="1462"/>
      <c r="C291" s="1456">
        <v>4340000</v>
      </c>
      <c r="D291" s="1460"/>
      <c r="E291" s="1896">
        <v>4340000</v>
      </c>
      <c r="O291" s="1541">
        <f t="shared" si="10"/>
        <v>0</v>
      </c>
      <c r="P291" s="1541">
        <f t="shared" si="10"/>
        <v>4340000</v>
      </c>
      <c r="Q291" s="1541">
        <f t="shared" si="10"/>
        <v>0</v>
      </c>
      <c r="R291" s="1541">
        <f t="shared" si="10"/>
        <v>4340000</v>
      </c>
    </row>
    <row r="292" spans="1:18" x14ac:dyDescent="0.3">
      <c r="A292" s="1855" t="s">
        <v>2505</v>
      </c>
      <c r="B292" s="1896">
        <v>259200</v>
      </c>
      <c r="C292" s="1456">
        <v>15000</v>
      </c>
      <c r="D292" s="1460"/>
      <c r="E292" s="1896">
        <v>274200</v>
      </c>
      <c r="O292" s="1541">
        <f t="shared" si="10"/>
        <v>259200</v>
      </c>
      <c r="P292" s="1541">
        <f t="shared" si="10"/>
        <v>15000</v>
      </c>
      <c r="Q292" s="1541">
        <f t="shared" si="10"/>
        <v>0</v>
      </c>
      <c r="R292" s="1541">
        <f t="shared" si="10"/>
        <v>274200</v>
      </c>
    </row>
    <row r="293" spans="1:18" x14ac:dyDescent="0.3">
      <c r="A293" s="1855" t="s">
        <v>2506</v>
      </c>
      <c r="B293" s="1896">
        <v>104626.64</v>
      </c>
      <c r="C293" s="1460"/>
      <c r="D293" s="1460"/>
      <c r="E293" s="1896">
        <v>104626.64</v>
      </c>
      <c r="O293" s="1541">
        <f t="shared" si="10"/>
        <v>104626.64</v>
      </c>
      <c r="P293" s="1541">
        <f t="shared" si="10"/>
        <v>0</v>
      </c>
      <c r="Q293" s="1541">
        <f t="shared" si="10"/>
        <v>0</v>
      </c>
      <c r="R293" s="1541">
        <f t="shared" si="10"/>
        <v>104626.64</v>
      </c>
    </row>
    <row r="294" spans="1:18" x14ac:dyDescent="0.3">
      <c r="A294" s="1463" t="s">
        <v>2224</v>
      </c>
      <c r="B294" s="1897">
        <v>4324773.9400000004</v>
      </c>
      <c r="C294" s="1849">
        <v>20419528.43</v>
      </c>
      <c r="D294" s="1849">
        <v>20719521.5</v>
      </c>
      <c r="E294" s="1897">
        <v>4024780.87</v>
      </c>
      <c r="H294" s="1463" t="s">
        <v>2224</v>
      </c>
      <c r="I294" s="1896">
        <v>2466682.37</v>
      </c>
      <c r="J294" s="1462"/>
      <c r="K294" s="1462"/>
      <c r="L294" s="1896">
        <v>2466682.37</v>
      </c>
      <c r="O294" s="1541">
        <f t="shared" si="10"/>
        <v>6791456.3100000005</v>
      </c>
      <c r="P294" s="1541">
        <f t="shared" si="10"/>
        <v>20419528.43</v>
      </c>
      <c r="Q294" s="1541">
        <f t="shared" si="10"/>
        <v>20719521.5</v>
      </c>
      <c r="R294" s="1541">
        <f t="shared" si="10"/>
        <v>6491463.2400000002</v>
      </c>
    </row>
    <row r="295" spans="1:18" x14ac:dyDescent="0.3">
      <c r="A295" s="1850" t="s">
        <v>2507</v>
      </c>
      <c r="B295" s="1473"/>
      <c r="C295" s="1877">
        <v>16950</v>
      </c>
      <c r="D295" s="1877">
        <v>16950</v>
      </c>
      <c r="E295" s="1473"/>
      <c r="O295" s="1541">
        <f t="shared" si="10"/>
        <v>0</v>
      </c>
      <c r="P295" s="1541">
        <f t="shared" si="10"/>
        <v>16950</v>
      </c>
      <c r="Q295" s="1541">
        <f t="shared" si="10"/>
        <v>16950</v>
      </c>
      <c r="R295" s="1541">
        <f t="shared" si="10"/>
        <v>0</v>
      </c>
    </row>
    <row r="296" spans="1:18" x14ac:dyDescent="0.3">
      <c r="A296" s="1879" t="s">
        <v>3688</v>
      </c>
      <c r="B296" s="1460"/>
      <c r="C296" s="1459">
        <v>16950</v>
      </c>
      <c r="D296" s="1459">
        <v>16950</v>
      </c>
      <c r="E296" s="1460"/>
      <c r="O296" s="1541">
        <f t="shared" si="10"/>
        <v>0</v>
      </c>
      <c r="P296" s="1541">
        <f t="shared" si="10"/>
        <v>16950</v>
      </c>
      <c r="Q296" s="1541">
        <f t="shared" si="10"/>
        <v>16950</v>
      </c>
      <c r="R296" s="1541">
        <f t="shared" si="10"/>
        <v>0</v>
      </c>
    </row>
    <row r="297" spans="1:18" x14ac:dyDescent="0.3">
      <c r="A297" s="1851" t="s">
        <v>2650</v>
      </c>
      <c r="B297" s="1904">
        <v>1079529.94</v>
      </c>
      <c r="C297" s="1470"/>
      <c r="D297" s="1465">
        <v>1082682.6000000001</v>
      </c>
      <c r="E297" s="1882">
        <v>-3152.66</v>
      </c>
      <c r="O297" s="1541">
        <f t="shared" si="10"/>
        <v>1079529.94</v>
      </c>
      <c r="P297" s="1541">
        <f t="shared" si="10"/>
        <v>0</v>
      </c>
      <c r="Q297" s="1541">
        <f t="shared" si="10"/>
        <v>1082682.6000000001</v>
      </c>
      <c r="R297" s="1541">
        <f t="shared" si="10"/>
        <v>-3152.66</v>
      </c>
    </row>
    <row r="298" spans="1:18" x14ac:dyDescent="0.3">
      <c r="A298" s="1879" t="s">
        <v>3723</v>
      </c>
      <c r="B298" s="1894">
        <v>772487</v>
      </c>
      <c r="C298" s="1462"/>
      <c r="D298" s="1459">
        <v>3987.2</v>
      </c>
      <c r="E298" s="1894">
        <v>768499.8</v>
      </c>
      <c r="O298" s="1541">
        <f t="shared" si="10"/>
        <v>772487</v>
      </c>
      <c r="P298" s="1541">
        <f t="shared" si="10"/>
        <v>0</v>
      </c>
      <c r="Q298" s="1541">
        <f t="shared" si="10"/>
        <v>3987.2</v>
      </c>
      <c r="R298" s="1541">
        <f t="shared" si="10"/>
        <v>768499.8</v>
      </c>
    </row>
    <row r="299" spans="1:18" x14ac:dyDescent="0.3">
      <c r="A299" s="1879" t="s">
        <v>3722</v>
      </c>
      <c r="B299" s="1894">
        <v>307042.94</v>
      </c>
      <c r="C299" s="1462"/>
      <c r="D299" s="1462"/>
      <c r="E299" s="1894">
        <v>307042.94</v>
      </c>
      <c r="O299" s="1541">
        <f t="shared" si="10"/>
        <v>307042.94</v>
      </c>
      <c r="P299" s="1541">
        <f t="shared" si="10"/>
        <v>0</v>
      </c>
      <c r="Q299" s="1541">
        <f t="shared" si="10"/>
        <v>0</v>
      </c>
      <c r="R299" s="1541">
        <f t="shared" si="10"/>
        <v>307042.94</v>
      </c>
    </row>
    <row r="300" spans="1:18" x14ac:dyDescent="0.3">
      <c r="A300" s="1879" t="s">
        <v>3720</v>
      </c>
      <c r="B300" s="1460"/>
      <c r="C300" s="1462"/>
      <c r="D300" s="1459">
        <v>1078695.3999999999</v>
      </c>
      <c r="E300" s="1468">
        <v>-1078695.3999999999</v>
      </c>
      <c r="O300" s="1541">
        <f t="shared" si="10"/>
        <v>0</v>
      </c>
      <c r="P300" s="1541">
        <f t="shared" si="10"/>
        <v>0</v>
      </c>
      <c r="Q300" s="1541">
        <f t="shared" si="10"/>
        <v>1078695.3999999999</v>
      </c>
      <c r="R300" s="1541">
        <f t="shared" si="10"/>
        <v>-1078695.3999999999</v>
      </c>
    </row>
    <row r="301" spans="1:18" x14ac:dyDescent="0.3">
      <c r="A301" s="1850" t="s">
        <v>3337</v>
      </c>
      <c r="B301" s="1904">
        <v>3240583</v>
      </c>
      <c r="C301" s="1465">
        <v>158368</v>
      </c>
      <c r="D301" s="1465">
        <v>144832</v>
      </c>
      <c r="E301" s="1904">
        <v>3254119</v>
      </c>
      <c r="O301" s="1541">
        <f t="shared" si="10"/>
        <v>3240583</v>
      </c>
      <c r="P301" s="1541">
        <f t="shared" si="10"/>
        <v>158368</v>
      </c>
      <c r="Q301" s="1541">
        <f t="shared" si="10"/>
        <v>144832</v>
      </c>
      <c r="R301" s="1541">
        <f t="shared" si="10"/>
        <v>3254119</v>
      </c>
    </row>
    <row r="302" spans="1:18" x14ac:dyDescent="0.3">
      <c r="A302" s="1878" t="s">
        <v>3724</v>
      </c>
      <c r="B302" s="1894">
        <v>3250583</v>
      </c>
      <c r="C302" s="1462"/>
      <c r="D302" s="1462"/>
      <c r="E302" s="1894">
        <v>3250583</v>
      </c>
      <c r="O302" s="1541">
        <f t="shared" si="10"/>
        <v>3250583</v>
      </c>
      <c r="P302" s="1541">
        <f t="shared" si="10"/>
        <v>0</v>
      </c>
      <c r="Q302" s="1541">
        <f t="shared" si="10"/>
        <v>0</v>
      </c>
      <c r="R302" s="1541">
        <f t="shared" si="10"/>
        <v>3250583</v>
      </c>
    </row>
    <row r="303" spans="1:18" x14ac:dyDescent="0.3">
      <c r="A303" s="1855" t="s">
        <v>3721</v>
      </c>
      <c r="B303" s="1468">
        <v>-10000</v>
      </c>
      <c r="C303" s="1459">
        <v>158368</v>
      </c>
      <c r="D303" s="1459">
        <v>144832</v>
      </c>
      <c r="E303" s="1894">
        <v>3536</v>
      </c>
      <c r="O303" s="1541">
        <f t="shared" ref="O303:R366" si="11">B303+I303</f>
        <v>-10000</v>
      </c>
      <c r="P303" s="1541">
        <f t="shared" si="11"/>
        <v>158368</v>
      </c>
      <c r="Q303" s="1541">
        <f t="shared" si="11"/>
        <v>144832</v>
      </c>
      <c r="R303" s="1541">
        <f t="shared" si="11"/>
        <v>3536</v>
      </c>
    </row>
    <row r="304" spans="1:18" x14ac:dyDescent="0.3">
      <c r="A304" s="1852" t="s">
        <v>2508</v>
      </c>
      <c r="B304" s="1462"/>
      <c r="C304" s="1456">
        <v>1178</v>
      </c>
      <c r="D304" s="1456">
        <v>1178</v>
      </c>
      <c r="E304" s="1462"/>
      <c r="O304" s="1541">
        <f t="shared" si="11"/>
        <v>0</v>
      </c>
      <c r="P304" s="1541">
        <f t="shared" si="11"/>
        <v>1178</v>
      </c>
      <c r="Q304" s="1541">
        <f t="shared" si="11"/>
        <v>1178</v>
      </c>
      <c r="R304" s="1541">
        <f t="shared" si="11"/>
        <v>0</v>
      </c>
    </row>
    <row r="305" spans="1:18" x14ac:dyDescent="0.3">
      <c r="A305" s="1852" t="s">
        <v>2509</v>
      </c>
      <c r="B305" s="1462"/>
      <c r="C305" s="1456">
        <v>1250</v>
      </c>
      <c r="D305" s="1456">
        <v>1250</v>
      </c>
      <c r="E305" s="1462"/>
      <c r="O305" s="1541">
        <f t="shared" si="11"/>
        <v>0</v>
      </c>
      <c r="P305" s="1541">
        <f t="shared" si="11"/>
        <v>1250</v>
      </c>
      <c r="Q305" s="1541">
        <f t="shared" si="11"/>
        <v>1250</v>
      </c>
      <c r="R305" s="1541">
        <f t="shared" si="11"/>
        <v>0</v>
      </c>
    </row>
    <row r="306" spans="1:18" x14ac:dyDescent="0.3">
      <c r="A306" s="1852" t="s">
        <v>2510</v>
      </c>
      <c r="B306" s="1462"/>
      <c r="C306" s="1456">
        <v>17320.009999999998</v>
      </c>
      <c r="D306" s="1456">
        <v>14260</v>
      </c>
      <c r="E306" s="1896">
        <v>3060.01</v>
      </c>
      <c r="O306" s="1541">
        <f t="shared" si="11"/>
        <v>0</v>
      </c>
      <c r="P306" s="1541">
        <f t="shared" si="11"/>
        <v>17320.009999999998</v>
      </c>
      <c r="Q306" s="1541">
        <f t="shared" si="11"/>
        <v>14260</v>
      </c>
      <c r="R306" s="1541">
        <f t="shared" si="11"/>
        <v>3060.01</v>
      </c>
    </row>
    <row r="307" spans="1:18" x14ac:dyDescent="0.3">
      <c r="A307" s="1852" t="s">
        <v>2511</v>
      </c>
      <c r="B307" s="1462"/>
      <c r="C307" s="1456">
        <v>1116</v>
      </c>
      <c r="D307" s="1456">
        <v>1116</v>
      </c>
      <c r="E307" s="1462"/>
      <c r="O307" s="1541">
        <f t="shared" si="11"/>
        <v>0</v>
      </c>
      <c r="P307" s="1541">
        <f t="shared" si="11"/>
        <v>1116</v>
      </c>
      <c r="Q307" s="1541">
        <f t="shared" si="11"/>
        <v>1116</v>
      </c>
      <c r="R307" s="1541">
        <f t="shared" si="11"/>
        <v>0</v>
      </c>
    </row>
    <row r="308" spans="1:18" x14ac:dyDescent="0.3">
      <c r="A308" s="1852" t="s">
        <v>2512</v>
      </c>
      <c r="B308" s="1462"/>
      <c r="C308" s="1456">
        <v>14178</v>
      </c>
      <c r="D308" s="1456">
        <v>14178</v>
      </c>
      <c r="E308" s="1462"/>
      <c r="O308" s="1541">
        <f t="shared" si="11"/>
        <v>0</v>
      </c>
      <c r="P308" s="1541">
        <f t="shared" si="11"/>
        <v>14178</v>
      </c>
      <c r="Q308" s="1541">
        <f t="shared" si="11"/>
        <v>14178</v>
      </c>
      <c r="R308" s="1541">
        <f t="shared" si="11"/>
        <v>0</v>
      </c>
    </row>
    <row r="309" spans="1:18" x14ac:dyDescent="0.3">
      <c r="A309" s="1852" t="s">
        <v>2513</v>
      </c>
      <c r="B309" s="1462"/>
      <c r="C309" s="1456">
        <v>7484</v>
      </c>
      <c r="D309" s="1456">
        <v>7484</v>
      </c>
      <c r="E309" s="1462"/>
      <c r="O309" s="1541">
        <f t="shared" si="11"/>
        <v>0</v>
      </c>
      <c r="P309" s="1541">
        <f t="shared" si="11"/>
        <v>7484</v>
      </c>
      <c r="Q309" s="1541">
        <f t="shared" si="11"/>
        <v>7484</v>
      </c>
      <c r="R309" s="1541">
        <f t="shared" si="11"/>
        <v>0</v>
      </c>
    </row>
    <row r="310" spans="1:18" x14ac:dyDescent="0.3">
      <c r="A310" s="1852" t="s">
        <v>2514</v>
      </c>
      <c r="B310" s="1462"/>
      <c r="C310" s="1456">
        <v>530</v>
      </c>
      <c r="D310" s="1456">
        <v>530</v>
      </c>
      <c r="E310" s="1462"/>
      <c r="O310" s="1541">
        <f t="shared" si="11"/>
        <v>0</v>
      </c>
      <c r="P310" s="1541">
        <f t="shared" si="11"/>
        <v>530</v>
      </c>
      <c r="Q310" s="1541">
        <f t="shared" si="11"/>
        <v>530</v>
      </c>
      <c r="R310" s="1541">
        <f t="shared" si="11"/>
        <v>0</v>
      </c>
    </row>
    <row r="311" spans="1:18" x14ac:dyDescent="0.3">
      <c r="A311" s="1852" t="s">
        <v>2515</v>
      </c>
      <c r="B311" s="1462"/>
      <c r="C311" s="1456">
        <v>7482</v>
      </c>
      <c r="D311" s="1456">
        <v>7482</v>
      </c>
      <c r="E311" s="1462"/>
      <c r="O311" s="1541">
        <f t="shared" si="11"/>
        <v>0</v>
      </c>
      <c r="P311" s="1541">
        <f t="shared" si="11"/>
        <v>7482</v>
      </c>
      <c r="Q311" s="1541">
        <f t="shared" si="11"/>
        <v>7482</v>
      </c>
      <c r="R311" s="1541">
        <f t="shared" si="11"/>
        <v>0</v>
      </c>
    </row>
    <row r="312" spans="1:18" x14ac:dyDescent="0.3">
      <c r="A312" s="1852" t="s">
        <v>2516</v>
      </c>
      <c r="B312" s="1462"/>
      <c r="C312" s="1456">
        <v>190</v>
      </c>
      <c r="D312" s="1456">
        <v>190</v>
      </c>
      <c r="E312" s="1462"/>
      <c r="O312" s="1541">
        <f t="shared" si="11"/>
        <v>0</v>
      </c>
      <c r="P312" s="1541">
        <f t="shared" si="11"/>
        <v>190</v>
      </c>
      <c r="Q312" s="1541">
        <f t="shared" si="11"/>
        <v>190</v>
      </c>
      <c r="R312" s="1541">
        <f t="shared" si="11"/>
        <v>0</v>
      </c>
    </row>
    <row r="313" spans="1:18" x14ac:dyDescent="0.3">
      <c r="A313" s="1855" t="s">
        <v>2517</v>
      </c>
      <c r="B313" s="1462"/>
      <c r="C313" s="1456">
        <v>142640.01999999999</v>
      </c>
      <c r="D313" s="1456">
        <v>142640</v>
      </c>
      <c r="E313" s="1896">
        <v>0.02</v>
      </c>
      <c r="O313" s="1541">
        <f t="shared" si="11"/>
        <v>0</v>
      </c>
      <c r="P313" s="1541">
        <f t="shared" si="11"/>
        <v>142640.01999999999</v>
      </c>
      <c r="Q313" s="1541">
        <f t="shared" si="11"/>
        <v>142640</v>
      </c>
      <c r="R313" s="1541">
        <f t="shared" si="11"/>
        <v>0.02</v>
      </c>
    </row>
    <row r="314" spans="1:18" x14ac:dyDescent="0.3">
      <c r="A314" s="1852" t="s">
        <v>2518</v>
      </c>
      <c r="B314" s="1462"/>
      <c r="C314" s="1456">
        <v>740</v>
      </c>
      <c r="D314" s="1456">
        <v>740</v>
      </c>
      <c r="E314" s="1462"/>
      <c r="O314" s="1541">
        <f t="shared" si="11"/>
        <v>0</v>
      </c>
      <c r="P314" s="1541">
        <f t="shared" si="11"/>
        <v>740</v>
      </c>
      <c r="Q314" s="1541">
        <f t="shared" si="11"/>
        <v>740</v>
      </c>
      <c r="R314" s="1541">
        <f t="shared" si="11"/>
        <v>0</v>
      </c>
    </row>
    <row r="315" spans="1:18" x14ac:dyDescent="0.3">
      <c r="A315" s="1852" t="s">
        <v>2519</v>
      </c>
      <c r="B315" s="1462"/>
      <c r="C315" s="1456">
        <v>280</v>
      </c>
      <c r="D315" s="1456">
        <v>280</v>
      </c>
      <c r="E315" s="1462"/>
      <c r="O315" s="1541">
        <f t="shared" si="11"/>
        <v>0</v>
      </c>
      <c r="P315" s="1541">
        <f t="shared" si="11"/>
        <v>280</v>
      </c>
      <c r="Q315" s="1541">
        <f t="shared" si="11"/>
        <v>280</v>
      </c>
      <c r="R315" s="1541">
        <f t="shared" si="11"/>
        <v>0</v>
      </c>
    </row>
    <row r="316" spans="1:18" x14ac:dyDescent="0.3">
      <c r="A316" s="1852" t="s">
        <v>2520</v>
      </c>
      <c r="B316" s="1462"/>
      <c r="C316" s="1456">
        <v>350</v>
      </c>
      <c r="D316" s="1456">
        <v>350</v>
      </c>
      <c r="E316" s="1462"/>
      <c r="O316" s="1541">
        <f t="shared" si="11"/>
        <v>0</v>
      </c>
      <c r="P316" s="1541">
        <f t="shared" si="11"/>
        <v>350</v>
      </c>
      <c r="Q316" s="1541">
        <f t="shared" si="11"/>
        <v>350</v>
      </c>
      <c r="R316" s="1541">
        <f t="shared" si="11"/>
        <v>0</v>
      </c>
    </row>
    <row r="317" spans="1:18" x14ac:dyDescent="0.3">
      <c r="A317" s="1852" t="s">
        <v>2521</v>
      </c>
      <c r="B317" s="1462"/>
      <c r="C317" s="1456">
        <v>1738</v>
      </c>
      <c r="D317" s="1456">
        <v>1738</v>
      </c>
      <c r="E317" s="1462"/>
      <c r="O317" s="1541">
        <f t="shared" si="11"/>
        <v>0</v>
      </c>
      <c r="P317" s="1541">
        <f t="shared" si="11"/>
        <v>1738</v>
      </c>
      <c r="Q317" s="1541">
        <f t="shared" si="11"/>
        <v>1738</v>
      </c>
      <c r="R317" s="1541">
        <f t="shared" si="11"/>
        <v>0</v>
      </c>
    </row>
    <row r="318" spans="1:18" x14ac:dyDescent="0.3">
      <c r="A318" s="1852" t="s">
        <v>2522</v>
      </c>
      <c r="B318" s="1462"/>
      <c r="C318" s="1456">
        <v>1030</v>
      </c>
      <c r="D318" s="1456">
        <v>1030</v>
      </c>
      <c r="E318" s="1462"/>
      <c r="O318" s="1541">
        <f t="shared" si="11"/>
        <v>0</v>
      </c>
      <c r="P318" s="1541">
        <f t="shared" si="11"/>
        <v>1030</v>
      </c>
      <c r="Q318" s="1541">
        <f t="shared" si="11"/>
        <v>1030</v>
      </c>
      <c r="R318" s="1541">
        <f t="shared" si="11"/>
        <v>0</v>
      </c>
    </row>
    <row r="319" spans="1:18" x14ac:dyDescent="0.3">
      <c r="A319" s="1852" t="s">
        <v>2523</v>
      </c>
      <c r="B319" s="1462"/>
      <c r="C319" s="1456">
        <v>210</v>
      </c>
      <c r="D319" s="1456">
        <v>210</v>
      </c>
      <c r="E319" s="1462"/>
      <c r="O319" s="1541">
        <f t="shared" si="11"/>
        <v>0</v>
      </c>
      <c r="P319" s="1541">
        <f t="shared" si="11"/>
        <v>210</v>
      </c>
      <c r="Q319" s="1541">
        <f t="shared" si="11"/>
        <v>210</v>
      </c>
      <c r="R319" s="1541">
        <f t="shared" si="11"/>
        <v>0</v>
      </c>
    </row>
    <row r="320" spans="1:18" x14ac:dyDescent="0.3">
      <c r="A320" s="1852" t="s">
        <v>2524</v>
      </c>
      <c r="B320" s="1462"/>
      <c r="C320" s="1456">
        <v>332</v>
      </c>
      <c r="D320" s="1456">
        <v>332</v>
      </c>
      <c r="E320" s="1462"/>
      <c r="O320" s="1541">
        <f t="shared" si="11"/>
        <v>0</v>
      </c>
      <c r="P320" s="1541">
        <f t="shared" si="11"/>
        <v>332</v>
      </c>
      <c r="Q320" s="1541">
        <f t="shared" si="11"/>
        <v>332</v>
      </c>
      <c r="R320" s="1541">
        <f t="shared" si="11"/>
        <v>0</v>
      </c>
    </row>
    <row r="321" spans="1:18" x14ac:dyDescent="0.3">
      <c r="A321" s="1852" t="s">
        <v>2525</v>
      </c>
      <c r="B321" s="1462"/>
      <c r="C321" s="1456">
        <v>2818</v>
      </c>
      <c r="D321" s="1456">
        <v>2818</v>
      </c>
      <c r="E321" s="1462"/>
      <c r="O321" s="1541">
        <f t="shared" si="11"/>
        <v>0</v>
      </c>
      <c r="P321" s="1541">
        <f t="shared" si="11"/>
        <v>2818</v>
      </c>
      <c r="Q321" s="1541">
        <f t="shared" si="11"/>
        <v>2818</v>
      </c>
      <c r="R321" s="1541">
        <f t="shared" si="11"/>
        <v>0</v>
      </c>
    </row>
    <row r="322" spans="1:18" x14ac:dyDescent="0.3">
      <c r="A322" s="1852" t="s">
        <v>2526</v>
      </c>
      <c r="B322" s="1462"/>
      <c r="C322" s="1456">
        <v>5314</v>
      </c>
      <c r="D322" s="1456">
        <v>3962</v>
      </c>
      <c r="E322" s="1896">
        <v>1352</v>
      </c>
      <c r="O322" s="1541">
        <f t="shared" si="11"/>
        <v>0</v>
      </c>
      <c r="P322" s="1541">
        <f t="shared" si="11"/>
        <v>5314</v>
      </c>
      <c r="Q322" s="1541">
        <f t="shared" si="11"/>
        <v>3962</v>
      </c>
      <c r="R322" s="1541">
        <f t="shared" si="11"/>
        <v>1352</v>
      </c>
    </row>
    <row r="323" spans="1:18" x14ac:dyDescent="0.3">
      <c r="A323" s="1852" t="s">
        <v>2527</v>
      </c>
      <c r="B323" s="1462"/>
      <c r="C323" s="1456">
        <v>1592</v>
      </c>
      <c r="D323" s="1456">
        <v>1592</v>
      </c>
      <c r="E323" s="1462"/>
      <c r="O323" s="1541">
        <f t="shared" si="11"/>
        <v>0</v>
      </c>
      <c r="P323" s="1541">
        <f t="shared" si="11"/>
        <v>1592</v>
      </c>
      <c r="Q323" s="1541">
        <f t="shared" si="11"/>
        <v>1592</v>
      </c>
      <c r="R323" s="1541">
        <f t="shared" si="11"/>
        <v>0</v>
      </c>
    </row>
    <row r="324" spans="1:18" x14ac:dyDescent="0.3">
      <c r="A324" s="1852" t="s">
        <v>2528</v>
      </c>
      <c r="B324" s="1462"/>
      <c r="C324" s="1456">
        <v>400</v>
      </c>
      <c r="D324" s="1456">
        <v>400</v>
      </c>
      <c r="E324" s="1462"/>
      <c r="O324" s="1541">
        <f t="shared" si="11"/>
        <v>0</v>
      </c>
      <c r="P324" s="1541">
        <f t="shared" si="11"/>
        <v>400</v>
      </c>
      <c r="Q324" s="1541">
        <f t="shared" si="11"/>
        <v>400</v>
      </c>
      <c r="R324" s="1541">
        <f t="shared" si="11"/>
        <v>0</v>
      </c>
    </row>
    <row r="325" spans="1:18" x14ac:dyDescent="0.3">
      <c r="A325" s="1852" t="s">
        <v>2529</v>
      </c>
      <c r="B325" s="1462"/>
      <c r="C325" s="1456">
        <v>200</v>
      </c>
      <c r="D325" s="1456">
        <v>200</v>
      </c>
      <c r="E325" s="1462"/>
      <c r="O325" s="1541">
        <f t="shared" si="11"/>
        <v>0</v>
      </c>
      <c r="P325" s="1541">
        <f t="shared" si="11"/>
        <v>200</v>
      </c>
      <c r="Q325" s="1541">
        <f t="shared" si="11"/>
        <v>200</v>
      </c>
      <c r="R325" s="1541">
        <f t="shared" si="11"/>
        <v>0</v>
      </c>
    </row>
    <row r="326" spans="1:18" x14ac:dyDescent="0.3">
      <c r="A326" s="1852" t="s">
        <v>2530</v>
      </c>
      <c r="B326" s="1462"/>
      <c r="C326" s="1456">
        <v>356</v>
      </c>
      <c r="D326" s="1456">
        <v>356</v>
      </c>
      <c r="E326" s="1462"/>
      <c r="O326" s="1541">
        <f t="shared" si="11"/>
        <v>0</v>
      </c>
      <c r="P326" s="1541">
        <f t="shared" si="11"/>
        <v>356</v>
      </c>
      <c r="Q326" s="1541">
        <f t="shared" si="11"/>
        <v>356</v>
      </c>
      <c r="R326" s="1541">
        <f t="shared" si="11"/>
        <v>0</v>
      </c>
    </row>
    <row r="327" spans="1:18" x14ac:dyDescent="0.3">
      <c r="A327" s="1852" t="s">
        <v>2531</v>
      </c>
      <c r="B327" s="1462"/>
      <c r="C327" s="1456">
        <v>688</v>
      </c>
      <c r="D327" s="1456">
        <v>688</v>
      </c>
      <c r="E327" s="1462"/>
      <c r="O327" s="1541">
        <f t="shared" si="11"/>
        <v>0</v>
      </c>
      <c r="P327" s="1541">
        <f t="shared" si="11"/>
        <v>688</v>
      </c>
      <c r="Q327" s="1541">
        <f t="shared" si="11"/>
        <v>688</v>
      </c>
      <c r="R327" s="1541">
        <f t="shared" si="11"/>
        <v>0</v>
      </c>
    </row>
    <row r="328" spans="1:18" x14ac:dyDescent="0.3">
      <c r="A328" s="1855" t="s">
        <v>2532</v>
      </c>
      <c r="B328" s="1462"/>
      <c r="C328" s="1456">
        <v>3906</v>
      </c>
      <c r="D328" s="1456">
        <v>3906</v>
      </c>
      <c r="E328" s="1462"/>
      <c r="O328" s="1541">
        <f t="shared" si="11"/>
        <v>0</v>
      </c>
      <c r="P328" s="1541">
        <f t="shared" si="11"/>
        <v>3906</v>
      </c>
      <c r="Q328" s="1541">
        <f t="shared" si="11"/>
        <v>3906</v>
      </c>
      <c r="R328" s="1541">
        <f t="shared" si="11"/>
        <v>0</v>
      </c>
    </row>
    <row r="329" spans="1:18" x14ac:dyDescent="0.3">
      <c r="A329" s="1852" t="s">
        <v>2533</v>
      </c>
      <c r="B329" s="1462"/>
      <c r="C329" s="1456">
        <v>3128</v>
      </c>
      <c r="D329" s="1456">
        <v>3128</v>
      </c>
      <c r="E329" s="1462"/>
      <c r="O329" s="1541">
        <f t="shared" si="11"/>
        <v>0</v>
      </c>
      <c r="P329" s="1541">
        <f t="shared" si="11"/>
        <v>3128</v>
      </c>
      <c r="Q329" s="1541">
        <f t="shared" si="11"/>
        <v>3128</v>
      </c>
      <c r="R329" s="1541">
        <f t="shared" si="11"/>
        <v>0</v>
      </c>
    </row>
    <row r="330" spans="1:18" x14ac:dyDescent="0.3">
      <c r="A330" s="1852" t="s">
        <v>2534</v>
      </c>
      <c r="B330" s="1462"/>
      <c r="C330" s="1456">
        <v>11506</v>
      </c>
      <c r="D330" s="1456">
        <v>11506</v>
      </c>
      <c r="E330" s="1462"/>
      <c r="O330" s="1541">
        <f t="shared" si="11"/>
        <v>0</v>
      </c>
      <c r="P330" s="1541">
        <f t="shared" si="11"/>
        <v>11506</v>
      </c>
      <c r="Q330" s="1541">
        <f t="shared" si="11"/>
        <v>11506</v>
      </c>
      <c r="R330" s="1541">
        <f t="shared" si="11"/>
        <v>0</v>
      </c>
    </row>
    <row r="331" spans="1:18" x14ac:dyDescent="0.3">
      <c r="A331" s="1855" t="s">
        <v>2535</v>
      </c>
      <c r="B331" s="1462"/>
      <c r="C331" s="1456">
        <v>54724</v>
      </c>
      <c r="D331" s="1456">
        <v>54724</v>
      </c>
      <c r="E331" s="1462"/>
      <c r="O331" s="1541">
        <f t="shared" si="11"/>
        <v>0</v>
      </c>
      <c r="P331" s="1541">
        <f t="shared" si="11"/>
        <v>54724</v>
      </c>
      <c r="Q331" s="1541">
        <f t="shared" si="11"/>
        <v>54724</v>
      </c>
      <c r="R331" s="1541">
        <f t="shared" si="11"/>
        <v>0</v>
      </c>
    </row>
    <row r="332" spans="1:18" x14ac:dyDescent="0.3">
      <c r="A332" s="1852" t="s">
        <v>2536</v>
      </c>
      <c r="B332" s="1462"/>
      <c r="C332" s="1456">
        <v>55350</v>
      </c>
      <c r="D332" s="1456">
        <v>55350</v>
      </c>
      <c r="E332" s="1462"/>
      <c r="O332" s="1541">
        <f t="shared" si="11"/>
        <v>0</v>
      </c>
      <c r="P332" s="1541">
        <f t="shared" si="11"/>
        <v>55350</v>
      </c>
      <c r="Q332" s="1541">
        <f t="shared" si="11"/>
        <v>55350</v>
      </c>
      <c r="R332" s="1541">
        <f t="shared" si="11"/>
        <v>0</v>
      </c>
    </row>
    <row r="333" spans="1:18" x14ac:dyDescent="0.3">
      <c r="A333" s="1852" t="s">
        <v>2537</v>
      </c>
      <c r="B333" s="1462"/>
      <c r="C333" s="1456">
        <v>400</v>
      </c>
      <c r="D333" s="1456">
        <v>400</v>
      </c>
      <c r="E333" s="1462"/>
      <c r="O333" s="1541">
        <f t="shared" si="11"/>
        <v>0</v>
      </c>
      <c r="P333" s="1541">
        <f t="shared" si="11"/>
        <v>400</v>
      </c>
      <c r="Q333" s="1541">
        <f t="shared" si="11"/>
        <v>400</v>
      </c>
      <c r="R333" s="1541">
        <f t="shared" si="11"/>
        <v>0</v>
      </c>
    </row>
    <row r="334" spans="1:18" x14ac:dyDescent="0.3">
      <c r="A334" s="1852" t="s">
        <v>2538</v>
      </c>
      <c r="B334" s="1462"/>
      <c r="C334" s="1456">
        <v>3470</v>
      </c>
      <c r="D334" s="1456">
        <v>3470</v>
      </c>
      <c r="E334" s="1462"/>
      <c r="O334" s="1541">
        <f t="shared" si="11"/>
        <v>0</v>
      </c>
      <c r="P334" s="1541">
        <f t="shared" si="11"/>
        <v>3470</v>
      </c>
      <c r="Q334" s="1541">
        <f t="shared" si="11"/>
        <v>3470</v>
      </c>
      <c r="R334" s="1541">
        <f t="shared" si="11"/>
        <v>0</v>
      </c>
    </row>
    <row r="335" spans="1:18" x14ac:dyDescent="0.3">
      <c r="A335" s="1852" t="s">
        <v>2539</v>
      </c>
      <c r="B335" s="1462"/>
      <c r="C335" s="1456">
        <v>2450</v>
      </c>
      <c r="D335" s="1456">
        <v>2450</v>
      </c>
      <c r="E335" s="1462"/>
      <c r="O335" s="1541">
        <f t="shared" si="11"/>
        <v>0</v>
      </c>
      <c r="P335" s="1541">
        <f t="shared" si="11"/>
        <v>2450</v>
      </c>
      <c r="Q335" s="1541">
        <f t="shared" si="11"/>
        <v>2450</v>
      </c>
      <c r="R335" s="1541">
        <f t="shared" si="11"/>
        <v>0</v>
      </c>
    </row>
    <row r="336" spans="1:18" x14ac:dyDescent="0.3">
      <c r="A336" s="1852" t="s">
        <v>2540</v>
      </c>
      <c r="B336" s="1462"/>
      <c r="C336" s="1456">
        <v>920.01</v>
      </c>
      <c r="D336" s="1456">
        <v>920</v>
      </c>
      <c r="E336" s="1896">
        <v>0.01</v>
      </c>
      <c r="O336" s="1541">
        <f t="shared" si="11"/>
        <v>0</v>
      </c>
      <c r="P336" s="1541">
        <f t="shared" si="11"/>
        <v>920.01</v>
      </c>
      <c r="Q336" s="1541">
        <f t="shared" si="11"/>
        <v>920</v>
      </c>
      <c r="R336" s="1541">
        <f t="shared" si="11"/>
        <v>0.01</v>
      </c>
    </row>
    <row r="337" spans="1:18" x14ac:dyDescent="0.3">
      <c r="A337" s="1852" t="s">
        <v>2541</v>
      </c>
      <c r="B337" s="1462"/>
      <c r="C337" s="1456">
        <v>340.36</v>
      </c>
      <c r="D337" s="1456">
        <v>340.36</v>
      </c>
      <c r="E337" s="1462"/>
      <c r="O337" s="1541">
        <f t="shared" si="11"/>
        <v>0</v>
      </c>
      <c r="P337" s="1541">
        <f t="shared" si="11"/>
        <v>340.36</v>
      </c>
      <c r="Q337" s="1541">
        <f t="shared" si="11"/>
        <v>340.36</v>
      </c>
      <c r="R337" s="1541">
        <f t="shared" si="11"/>
        <v>0</v>
      </c>
    </row>
    <row r="338" spans="1:18" x14ac:dyDescent="0.3">
      <c r="A338" s="1852" t="s">
        <v>2542</v>
      </c>
      <c r="B338" s="1462"/>
      <c r="C338" s="1456">
        <v>10610</v>
      </c>
      <c r="D338" s="1456">
        <v>10610</v>
      </c>
      <c r="E338" s="1462"/>
      <c r="O338" s="1541">
        <f t="shared" si="11"/>
        <v>0</v>
      </c>
      <c r="P338" s="1541">
        <f t="shared" si="11"/>
        <v>10610</v>
      </c>
      <c r="Q338" s="1541">
        <f t="shared" si="11"/>
        <v>10610</v>
      </c>
      <c r="R338" s="1541">
        <f t="shared" si="11"/>
        <v>0</v>
      </c>
    </row>
    <row r="339" spans="1:18" x14ac:dyDescent="0.3">
      <c r="A339" s="1852" t="s">
        <v>2543</v>
      </c>
      <c r="B339" s="1462"/>
      <c r="C339" s="1456">
        <v>1590</v>
      </c>
      <c r="D339" s="1456">
        <v>1590</v>
      </c>
      <c r="E339" s="1462"/>
      <c r="O339" s="1541">
        <f t="shared" si="11"/>
        <v>0</v>
      </c>
      <c r="P339" s="1541">
        <f t="shared" si="11"/>
        <v>1590</v>
      </c>
      <c r="Q339" s="1541">
        <f t="shared" si="11"/>
        <v>1590</v>
      </c>
      <c r="R339" s="1541">
        <f t="shared" si="11"/>
        <v>0</v>
      </c>
    </row>
    <row r="340" spans="1:18" x14ac:dyDescent="0.3">
      <c r="A340" s="1855" t="s">
        <v>2544</v>
      </c>
      <c r="B340" s="1462"/>
      <c r="C340" s="1456">
        <v>4342</v>
      </c>
      <c r="D340" s="1456">
        <v>4342</v>
      </c>
      <c r="E340" s="1462"/>
      <c r="O340" s="1541">
        <f t="shared" si="11"/>
        <v>0</v>
      </c>
      <c r="P340" s="1541">
        <f t="shared" si="11"/>
        <v>4342</v>
      </c>
      <c r="Q340" s="1541">
        <f t="shared" si="11"/>
        <v>4342</v>
      </c>
      <c r="R340" s="1541">
        <f t="shared" si="11"/>
        <v>0</v>
      </c>
    </row>
    <row r="341" spans="1:18" x14ac:dyDescent="0.3">
      <c r="A341" s="1852" t="s">
        <v>2545</v>
      </c>
      <c r="B341" s="1462"/>
      <c r="C341" s="1456">
        <v>13022</v>
      </c>
      <c r="D341" s="1456">
        <v>13022</v>
      </c>
      <c r="E341" s="1462"/>
      <c r="O341" s="1541">
        <f t="shared" si="11"/>
        <v>0</v>
      </c>
      <c r="P341" s="1541">
        <f t="shared" si="11"/>
        <v>13022</v>
      </c>
      <c r="Q341" s="1541">
        <f t="shared" si="11"/>
        <v>13022</v>
      </c>
      <c r="R341" s="1541">
        <f t="shared" si="11"/>
        <v>0</v>
      </c>
    </row>
    <row r="342" spans="1:18" x14ac:dyDescent="0.3">
      <c r="A342" s="1852" t="s">
        <v>2546</v>
      </c>
      <c r="B342" s="1462"/>
      <c r="C342" s="1456">
        <v>1088</v>
      </c>
      <c r="D342" s="1456">
        <v>1088</v>
      </c>
      <c r="E342" s="1462"/>
      <c r="O342" s="1541">
        <f t="shared" si="11"/>
        <v>0</v>
      </c>
      <c r="P342" s="1541">
        <f t="shared" si="11"/>
        <v>1088</v>
      </c>
      <c r="Q342" s="1541">
        <f t="shared" si="11"/>
        <v>1088</v>
      </c>
      <c r="R342" s="1541">
        <f t="shared" si="11"/>
        <v>0</v>
      </c>
    </row>
    <row r="343" spans="1:18" x14ac:dyDescent="0.3">
      <c r="A343" s="1852" t="s">
        <v>2547</v>
      </c>
      <c r="B343" s="1462"/>
      <c r="C343" s="1456">
        <v>773</v>
      </c>
      <c r="D343" s="1456">
        <v>773</v>
      </c>
      <c r="E343" s="1462"/>
      <c r="O343" s="1541">
        <f t="shared" si="11"/>
        <v>0</v>
      </c>
      <c r="P343" s="1541">
        <f t="shared" si="11"/>
        <v>773</v>
      </c>
      <c r="Q343" s="1541">
        <f t="shared" si="11"/>
        <v>773</v>
      </c>
      <c r="R343" s="1541">
        <f t="shared" si="11"/>
        <v>0</v>
      </c>
    </row>
    <row r="344" spans="1:18" x14ac:dyDescent="0.3">
      <c r="A344" s="1852" t="s">
        <v>2548</v>
      </c>
      <c r="B344" s="1462"/>
      <c r="C344" s="1456">
        <v>200</v>
      </c>
      <c r="D344" s="1456">
        <v>200</v>
      </c>
      <c r="E344" s="1462"/>
      <c r="O344" s="1541">
        <f t="shared" si="11"/>
        <v>0</v>
      </c>
      <c r="P344" s="1541">
        <f t="shared" si="11"/>
        <v>200</v>
      </c>
      <c r="Q344" s="1541">
        <f t="shared" si="11"/>
        <v>200</v>
      </c>
      <c r="R344" s="1541">
        <f t="shared" si="11"/>
        <v>0</v>
      </c>
    </row>
    <row r="345" spans="1:18" x14ac:dyDescent="0.3">
      <c r="A345" s="1855" t="s">
        <v>2549</v>
      </c>
      <c r="B345" s="1462"/>
      <c r="C345" s="1456">
        <v>420</v>
      </c>
      <c r="D345" s="1456">
        <v>420</v>
      </c>
      <c r="E345" s="1462"/>
      <c r="O345" s="1541">
        <f t="shared" si="11"/>
        <v>0</v>
      </c>
      <c r="P345" s="1541">
        <f t="shared" si="11"/>
        <v>420</v>
      </c>
      <c r="Q345" s="1541">
        <f t="shared" si="11"/>
        <v>420</v>
      </c>
      <c r="R345" s="1541">
        <f t="shared" si="11"/>
        <v>0</v>
      </c>
    </row>
    <row r="346" spans="1:18" x14ac:dyDescent="0.3">
      <c r="A346" s="1852" t="s">
        <v>2550</v>
      </c>
      <c r="B346" s="1462"/>
      <c r="C346" s="1456">
        <v>472</v>
      </c>
      <c r="D346" s="1456">
        <v>472</v>
      </c>
      <c r="E346" s="1462"/>
      <c r="O346" s="1541">
        <f t="shared" si="11"/>
        <v>0</v>
      </c>
      <c r="P346" s="1541">
        <f t="shared" si="11"/>
        <v>472</v>
      </c>
      <c r="Q346" s="1541">
        <f t="shared" si="11"/>
        <v>472</v>
      </c>
      <c r="R346" s="1541">
        <f t="shared" si="11"/>
        <v>0</v>
      </c>
    </row>
    <row r="347" spans="1:18" x14ac:dyDescent="0.3">
      <c r="A347" s="1852" t="s">
        <v>2551</v>
      </c>
      <c r="B347" s="1462"/>
      <c r="C347" s="1456">
        <v>140</v>
      </c>
      <c r="D347" s="1456">
        <v>140</v>
      </c>
      <c r="E347" s="1462"/>
      <c r="O347" s="1541">
        <f t="shared" si="11"/>
        <v>0</v>
      </c>
      <c r="P347" s="1541">
        <f t="shared" si="11"/>
        <v>140</v>
      </c>
      <c r="Q347" s="1541">
        <f t="shared" si="11"/>
        <v>140</v>
      </c>
      <c r="R347" s="1541">
        <f t="shared" si="11"/>
        <v>0</v>
      </c>
    </row>
    <row r="348" spans="1:18" x14ac:dyDescent="0.3">
      <c r="A348" s="1852" t="s">
        <v>2552</v>
      </c>
      <c r="B348" s="1462"/>
      <c r="C348" s="1456">
        <v>470</v>
      </c>
      <c r="D348" s="1456">
        <v>470</v>
      </c>
      <c r="E348" s="1462"/>
      <c r="O348" s="1541">
        <f t="shared" si="11"/>
        <v>0</v>
      </c>
      <c r="P348" s="1541">
        <f t="shared" si="11"/>
        <v>470</v>
      </c>
      <c r="Q348" s="1541">
        <f t="shared" si="11"/>
        <v>470</v>
      </c>
      <c r="R348" s="1541">
        <f t="shared" si="11"/>
        <v>0</v>
      </c>
    </row>
    <row r="349" spans="1:18" x14ac:dyDescent="0.3">
      <c r="A349" s="1852" t="s">
        <v>2553</v>
      </c>
      <c r="B349" s="1462"/>
      <c r="C349" s="1456">
        <v>520</v>
      </c>
      <c r="D349" s="1456">
        <v>520</v>
      </c>
      <c r="E349" s="1462"/>
      <c r="O349" s="1541">
        <f t="shared" si="11"/>
        <v>0</v>
      </c>
      <c r="P349" s="1541">
        <f t="shared" si="11"/>
        <v>520</v>
      </c>
      <c r="Q349" s="1541">
        <f t="shared" si="11"/>
        <v>520</v>
      </c>
      <c r="R349" s="1541">
        <f t="shared" si="11"/>
        <v>0</v>
      </c>
    </row>
    <row r="350" spans="1:18" x14ac:dyDescent="0.3">
      <c r="A350" s="1852" t="s">
        <v>2554</v>
      </c>
      <c r="B350" s="1462"/>
      <c r="C350" s="1456">
        <v>27030</v>
      </c>
      <c r="D350" s="1456">
        <v>27030</v>
      </c>
      <c r="E350" s="1462"/>
      <c r="O350" s="1541">
        <f t="shared" si="11"/>
        <v>0</v>
      </c>
      <c r="P350" s="1541">
        <f t="shared" si="11"/>
        <v>27030</v>
      </c>
      <c r="Q350" s="1541">
        <f t="shared" si="11"/>
        <v>27030</v>
      </c>
      <c r="R350" s="1541">
        <f t="shared" si="11"/>
        <v>0</v>
      </c>
    </row>
    <row r="351" spans="1:18" x14ac:dyDescent="0.3">
      <c r="A351" s="1852" t="s">
        <v>2555</v>
      </c>
      <c r="B351" s="1462"/>
      <c r="C351" s="1456">
        <v>6300</v>
      </c>
      <c r="D351" s="1456">
        <v>6300</v>
      </c>
      <c r="E351" s="1462"/>
      <c r="O351" s="1541">
        <f t="shared" si="11"/>
        <v>0</v>
      </c>
      <c r="P351" s="1541">
        <f t="shared" si="11"/>
        <v>6300</v>
      </c>
      <c r="Q351" s="1541">
        <f t="shared" si="11"/>
        <v>6300</v>
      </c>
      <c r="R351" s="1541">
        <f t="shared" si="11"/>
        <v>0</v>
      </c>
    </row>
    <row r="352" spans="1:18" x14ac:dyDescent="0.3">
      <c r="A352" s="1852" t="s">
        <v>2556</v>
      </c>
      <c r="B352" s="1462"/>
      <c r="C352" s="1456">
        <v>1560</v>
      </c>
      <c r="D352" s="1456">
        <v>1560</v>
      </c>
      <c r="E352" s="1462"/>
      <c r="O352" s="1541">
        <f t="shared" si="11"/>
        <v>0</v>
      </c>
      <c r="P352" s="1541">
        <f t="shared" si="11"/>
        <v>1560</v>
      </c>
      <c r="Q352" s="1541">
        <f t="shared" si="11"/>
        <v>1560</v>
      </c>
      <c r="R352" s="1541">
        <f t="shared" si="11"/>
        <v>0</v>
      </c>
    </row>
    <row r="353" spans="1:18" x14ac:dyDescent="0.3">
      <c r="A353" s="1855" t="s">
        <v>2557</v>
      </c>
      <c r="B353" s="1462"/>
      <c r="C353" s="1456">
        <v>24600.06</v>
      </c>
      <c r="D353" s="1456">
        <v>24600.06</v>
      </c>
      <c r="E353" s="1462"/>
      <c r="O353" s="1541">
        <f t="shared" si="11"/>
        <v>0</v>
      </c>
      <c r="P353" s="1541">
        <f t="shared" si="11"/>
        <v>24600.06</v>
      </c>
      <c r="Q353" s="1541">
        <f t="shared" si="11"/>
        <v>24600.06</v>
      </c>
      <c r="R353" s="1541">
        <f t="shared" si="11"/>
        <v>0</v>
      </c>
    </row>
    <row r="354" spans="1:18" x14ac:dyDescent="0.3">
      <c r="A354" s="1855" t="s">
        <v>2558</v>
      </c>
      <c r="B354" s="1462"/>
      <c r="C354" s="1456">
        <v>950</v>
      </c>
      <c r="D354" s="1456">
        <v>950</v>
      </c>
      <c r="E354" s="1462"/>
      <c r="O354" s="1541">
        <f t="shared" si="11"/>
        <v>0</v>
      </c>
      <c r="P354" s="1541">
        <f t="shared" si="11"/>
        <v>950</v>
      </c>
      <c r="Q354" s="1541">
        <f t="shared" si="11"/>
        <v>950</v>
      </c>
      <c r="R354" s="1541">
        <f t="shared" si="11"/>
        <v>0</v>
      </c>
    </row>
    <row r="355" spans="1:18" x14ac:dyDescent="0.3">
      <c r="A355" s="1852" t="s">
        <v>2559</v>
      </c>
      <c r="B355" s="1462"/>
      <c r="C355" s="1456">
        <v>14628</v>
      </c>
      <c r="D355" s="1456">
        <v>14628</v>
      </c>
      <c r="E355" s="1462"/>
      <c r="O355" s="1541">
        <f t="shared" si="11"/>
        <v>0</v>
      </c>
      <c r="P355" s="1541">
        <f t="shared" si="11"/>
        <v>14628</v>
      </c>
      <c r="Q355" s="1541">
        <f t="shared" si="11"/>
        <v>14628</v>
      </c>
      <c r="R355" s="1541">
        <f t="shared" si="11"/>
        <v>0</v>
      </c>
    </row>
    <row r="356" spans="1:18" x14ac:dyDescent="0.3">
      <c r="A356" s="1852" t="s">
        <v>2560</v>
      </c>
      <c r="B356" s="1462"/>
      <c r="C356" s="1456">
        <v>855</v>
      </c>
      <c r="D356" s="1456">
        <v>855</v>
      </c>
      <c r="E356" s="1462"/>
      <c r="O356" s="1541">
        <f t="shared" si="11"/>
        <v>0</v>
      </c>
      <c r="P356" s="1541">
        <f t="shared" si="11"/>
        <v>855</v>
      </c>
      <c r="Q356" s="1541">
        <f t="shared" si="11"/>
        <v>855</v>
      </c>
      <c r="R356" s="1541">
        <f t="shared" si="11"/>
        <v>0</v>
      </c>
    </row>
    <row r="357" spans="1:18" x14ac:dyDescent="0.3">
      <c r="A357" s="1852" t="s">
        <v>2561</v>
      </c>
      <c r="B357" s="1462"/>
      <c r="C357" s="1456">
        <v>420</v>
      </c>
      <c r="D357" s="1456">
        <v>420</v>
      </c>
      <c r="E357" s="1462"/>
      <c r="O357" s="1541">
        <f t="shared" si="11"/>
        <v>0</v>
      </c>
      <c r="P357" s="1541">
        <f t="shared" si="11"/>
        <v>420</v>
      </c>
      <c r="Q357" s="1541">
        <f t="shared" si="11"/>
        <v>420</v>
      </c>
      <c r="R357" s="1541">
        <f t="shared" si="11"/>
        <v>0</v>
      </c>
    </row>
    <row r="358" spans="1:18" x14ac:dyDescent="0.3">
      <c r="A358" s="1852" t="s">
        <v>2562</v>
      </c>
      <c r="B358" s="1462"/>
      <c r="C358" s="1456">
        <v>472</v>
      </c>
      <c r="D358" s="1456">
        <v>472</v>
      </c>
      <c r="E358" s="1462"/>
      <c r="O358" s="1541">
        <f t="shared" si="11"/>
        <v>0</v>
      </c>
      <c r="P358" s="1541">
        <f t="shared" si="11"/>
        <v>472</v>
      </c>
      <c r="Q358" s="1541">
        <f t="shared" si="11"/>
        <v>472</v>
      </c>
      <c r="R358" s="1541">
        <f t="shared" si="11"/>
        <v>0</v>
      </c>
    </row>
    <row r="359" spans="1:18" x14ac:dyDescent="0.3">
      <c r="A359" s="1852" t="s">
        <v>2563</v>
      </c>
      <c r="B359" s="1462"/>
      <c r="C359" s="1456">
        <v>1530</v>
      </c>
      <c r="D359" s="1456">
        <v>1530</v>
      </c>
      <c r="E359" s="1462"/>
      <c r="O359" s="1541">
        <f t="shared" si="11"/>
        <v>0</v>
      </c>
      <c r="P359" s="1541">
        <f t="shared" si="11"/>
        <v>1530</v>
      </c>
      <c r="Q359" s="1541">
        <f t="shared" si="11"/>
        <v>1530</v>
      </c>
      <c r="R359" s="1541">
        <f t="shared" si="11"/>
        <v>0</v>
      </c>
    </row>
    <row r="360" spans="1:18" x14ac:dyDescent="0.3">
      <c r="A360" s="1852" t="s">
        <v>2564</v>
      </c>
      <c r="B360" s="1462"/>
      <c r="C360" s="1456">
        <v>3260</v>
      </c>
      <c r="D360" s="1456">
        <v>3260</v>
      </c>
      <c r="E360" s="1462"/>
      <c r="O360" s="1541">
        <f t="shared" si="11"/>
        <v>0</v>
      </c>
      <c r="P360" s="1541">
        <f t="shared" si="11"/>
        <v>3260</v>
      </c>
      <c r="Q360" s="1541">
        <f t="shared" si="11"/>
        <v>3260</v>
      </c>
      <c r="R360" s="1541">
        <f t="shared" si="11"/>
        <v>0</v>
      </c>
    </row>
    <row r="361" spans="1:18" x14ac:dyDescent="0.3">
      <c r="A361" s="1855" t="s">
        <v>2565</v>
      </c>
      <c r="B361" s="1462"/>
      <c r="C361" s="1456">
        <v>72699</v>
      </c>
      <c r="D361" s="1456">
        <v>33973</v>
      </c>
      <c r="E361" s="1896">
        <v>38726</v>
      </c>
      <c r="O361" s="1541">
        <f t="shared" si="11"/>
        <v>0</v>
      </c>
      <c r="P361" s="1541">
        <f t="shared" si="11"/>
        <v>72699</v>
      </c>
      <c r="Q361" s="1541">
        <f t="shared" si="11"/>
        <v>33973</v>
      </c>
      <c r="R361" s="1541">
        <f t="shared" si="11"/>
        <v>38726</v>
      </c>
    </row>
    <row r="362" spans="1:18" x14ac:dyDescent="0.3">
      <c r="A362" s="1852" t="s">
        <v>2566</v>
      </c>
      <c r="B362" s="1462"/>
      <c r="C362" s="1456">
        <v>25556.01</v>
      </c>
      <c r="D362" s="1456">
        <v>25556</v>
      </c>
      <c r="E362" s="1896">
        <v>0.01</v>
      </c>
      <c r="O362" s="1541">
        <f t="shared" si="11"/>
        <v>0</v>
      </c>
      <c r="P362" s="1541">
        <f t="shared" si="11"/>
        <v>25556.01</v>
      </c>
      <c r="Q362" s="1541">
        <f t="shared" si="11"/>
        <v>25556</v>
      </c>
      <c r="R362" s="1541">
        <f t="shared" si="11"/>
        <v>0.01</v>
      </c>
    </row>
    <row r="363" spans="1:18" x14ac:dyDescent="0.3">
      <c r="A363" s="1852" t="s">
        <v>2567</v>
      </c>
      <c r="B363" s="1462"/>
      <c r="C363" s="1456">
        <v>200</v>
      </c>
      <c r="D363" s="1456">
        <v>200</v>
      </c>
      <c r="E363" s="1462"/>
      <c r="O363" s="1541">
        <f t="shared" si="11"/>
        <v>0</v>
      </c>
      <c r="P363" s="1541">
        <f t="shared" si="11"/>
        <v>200</v>
      </c>
      <c r="Q363" s="1541">
        <f t="shared" si="11"/>
        <v>200</v>
      </c>
      <c r="R363" s="1541">
        <f t="shared" si="11"/>
        <v>0</v>
      </c>
    </row>
    <row r="364" spans="1:18" x14ac:dyDescent="0.3">
      <c r="A364" s="1852" t="s">
        <v>2568</v>
      </c>
      <c r="B364" s="1462"/>
      <c r="C364" s="1456">
        <v>29635</v>
      </c>
      <c r="D364" s="1456">
        <v>29635</v>
      </c>
      <c r="E364" s="1462"/>
      <c r="O364" s="1541">
        <f t="shared" si="11"/>
        <v>0</v>
      </c>
      <c r="P364" s="1541">
        <f t="shared" si="11"/>
        <v>29635</v>
      </c>
      <c r="Q364" s="1541">
        <f t="shared" si="11"/>
        <v>29635</v>
      </c>
      <c r="R364" s="1541">
        <f t="shared" si="11"/>
        <v>0</v>
      </c>
    </row>
    <row r="365" spans="1:18" x14ac:dyDescent="0.3">
      <c r="A365" s="1852" t="s">
        <v>2569</v>
      </c>
      <c r="B365" s="1462"/>
      <c r="C365" s="1456">
        <v>2100</v>
      </c>
      <c r="D365" s="1456">
        <v>2100</v>
      </c>
      <c r="E365" s="1462"/>
      <c r="O365" s="1541">
        <f t="shared" si="11"/>
        <v>0</v>
      </c>
      <c r="P365" s="1541">
        <f t="shared" si="11"/>
        <v>2100</v>
      </c>
      <c r="Q365" s="1541">
        <f t="shared" si="11"/>
        <v>2100</v>
      </c>
      <c r="R365" s="1541">
        <f t="shared" si="11"/>
        <v>0</v>
      </c>
    </row>
    <row r="366" spans="1:18" x14ac:dyDescent="0.3">
      <c r="A366" s="1852" t="s">
        <v>2570</v>
      </c>
      <c r="B366" s="1462"/>
      <c r="C366" s="1456">
        <v>1090</v>
      </c>
      <c r="D366" s="1456">
        <v>1090</v>
      </c>
      <c r="E366" s="1462"/>
      <c r="O366" s="1541">
        <f t="shared" si="11"/>
        <v>0</v>
      </c>
      <c r="P366" s="1541">
        <f t="shared" si="11"/>
        <v>1090</v>
      </c>
      <c r="Q366" s="1541">
        <f t="shared" si="11"/>
        <v>1090</v>
      </c>
      <c r="R366" s="1541">
        <f t="shared" ref="R366:R429" si="12">E366+L366</f>
        <v>0</v>
      </c>
    </row>
    <row r="367" spans="1:18" x14ac:dyDescent="0.3">
      <c r="A367" s="1852" t="s">
        <v>2571</v>
      </c>
      <c r="B367" s="1462"/>
      <c r="C367" s="1456">
        <v>200</v>
      </c>
      <c r="D367" s="1456">
        <v>200</v>
      </c>
      <c r="E367" s="1462"/>
      <c r="O367" s="1541">
        <f t="shared" ref="O367:R430" si="13">B367+I367</f>
        <v>0</v>
      </c>
      <c r="P367" s="1541">
        <f t="shared" si="13"/>
        <v>200</v>
      </c>
      <c r="Q367" s="1541">
        <f t="shared" si="13"/>
        <v>200</v>
      </c>
      <c r="R367" s="1541">
        <f t="shared" si="12"/>
        <v>0</v>
      </c>
    </row>
    <row r="368" spans="1:18" x14ac:dyDescent="0.3">
      <c r="A368" s="1852" t="s">
        <v>2572</v>
      </c>
      <c r="B368" s="1462"/>
      <c r="C368" s="1456">
        <v>7533</v>
      </c>
      <c r="D368" s="1456">
        <v>7533</v>
      </c>
      <c r="E368" s="1462"/>
      <c r="O368" s="1541">
        <f t="shared" si="13"/>
        <v>0</v>
      </c>
      <c r="P368" s="1541">
        <f t="shared" si="13"/>
        <v>7533</v>
      </c>
      <c r="Q368" s="1541">
        <f t="shared" si="13"/>
        <v>7533</v>
      </c>
      <c r="R368" s="1541">
        <f t="shared" si="12"/>
        <v>0</v>
      </c>
    </row>
    <row r="369" spans="1:18" x14ac:dyDescent="0.3">
      <c r="A369" s="1852" t="s">
        <v>2573</v>
      </c>
      <c r="B369" s="1462"/>
      <c r="C369" s="1456">
        <v>3182</v>
      </c>
      <c r="D369" s="1456">
        <v>3182</v>
      </c>
      <c r="E369" s="1462"/>
      <c r="O369" s="1541">
        <f t="shared" si="13"/>
        <v>0</v>
      </c>
      <c r="P369" s="1541">
        <f t="shared" si="13"/>
        <v>3182</v>
      </c>
      <c r="Q369" s="1541">
        <f t="shared" si="13"/>
        <v>3182</v>
      </c>
      <c r="R369" s="1541">
        <f t="shared" si="12"/>
        <v>0</v>
      </c>
    </row>
    <row r="370" spans="1:18" x14ac:dyDescent="0.3">
      <c r="A370" s="1852" t="s">
        <v>2574</v>
      </c>
      <c r="B370" s="1462"/>
      <c r="C370" s="1456">
        <v>200</v>
      </c>
      <c r="D370" s="1456">
        <v>200</v>
      </c>
      <c r="E370" s="1462"/>
      <c r="O370" s="1541">
        <f t="shared" si="13"/>
        <v>0</v>
      </c>
      <c r="P370" s="1541">
        <f t="shared" si="13"/>
        <v>200</v>
      </c>
      <c r="Q370" s="1541">
        <f t="shared" si="13"/>
        <v>200</v>
      </c>
      <c r="R370" s="1541">
        <f t="shared" si="12"/>
        <v>0</v>
      </c>
    </row>
    <row r="371" spans="1:18" x14ac:dyDescent="0.3">
      <c r="A371" s="1852" t="s">
        <v>2575</v>
      </c>
      <c r="B371" s="1462"/>
      <c r="C371" s="1456">
        <v>1263</v>
      </c>
      <c r="D371" s="1456">
        <v>1263</v>
      </c>
      <c r="E371" s="1462"/>
      <c r="O371" s="1541">
        <f t="shared" si="13"/>
        <v>0</v>
      </c>
      <c r="P371" s="1541">
        <f t="shared" si="13"/>
        <v>1263</v>
      </c>
      <c r="Q371" s="1541">
        <f t="shared" si="13"/>
        <v>1263</v>
      </c>
      <c r="R371" s="1541">
        <f t="shared" si="12"/>
        <v>0</v>
      </c>
    </row>
    <row r="372" spans="1:18" x14ac:dyDescent="0.3">
      <c r="A372" s="1852" t="s">
        <v>2576</v>
      </c>
      <c r="B372" s="1462"/>
      <c r="C372" s="1456">
        <v>320</v>
      </c>
      <c r="D372" s="1456">
        <v>320</v>
      </c>
      <c r="E372" s="1462"/>
      <c r="O372" s="1541">
        <f t="shared" si="13"/>
        <v>0</v>
      </c>
      <c r="P372" s="1541">
        <f t="shared" si="13"/>
        <v>320</v>
      </c>
      <c r="Q372" s="1541">
        <f t="shared" si="13"/>
        <v>320</v>
      </c>
      <c r="R372" s="1541">
        <f t="shared" si="12"/>
        <v>0</v>
      </c>
    </row>
    <row r="373" spans="1:18" x14ac:dyDescent="0.3">
      <c r="A373" s="1855" t="s">
        <v>2577</v>
      </c>
      <c r="B373" s="1462"/>
      <c r="C373" s="1456">
        <v>29300</v>
      </c>
      <c r="D373" s="1456">
        <v>29300</v>
      </c>
      <c r="E373" s="1462"/>
      <c r="O373" s="1541">
        <f t="shared" si="13"/>
        <v>0</v>
      </c>
      <c r="P373" s="1541">
        <f t="shared" si="13"/>
        <v>29300</v>
      </c>
      <c r="Q373" s="1541">
        <f t="shared" si="13"/>
        <v>29300</v>
      </c>
      <c r="R373" s="1541">
        <f t="shared" si="12"/>
        <v>0</v>
      </c>
    </row>
    <row r="374" spans="1:18" x14ac:dyDescent="0.3">
      <c r="A374" s="1852" t="s">
        <v>2578</v>
      </c>
      <c r="B374" s="1462"/>
      <c r="C374" s="1456">
        <v>610</v>
      </c>
      <c r="D374" s="1456">
        <v>610</v>
      </c>
      <c r="E374" s="1462"/>
      <c r="O374" s="1541">
        <f t="shared" si="13"/>
        <v>0</v>
      </c>
      <c r="P374" s="1541">
        <f t="shared" si="13"/>
        <v>610</v>
      </c>
      <c r="Q374" s="1541">
        <f t="shared" si="13"/>
        <v>610</v>
      </c>
      <c r="R374" s="1541">
        <f t="shared" si="12"/>
        <v>0</v>
      </c>
    </row>
    <row r="375" spans="1:18" x14ac:dyDescent="0.3">
      <c r="A375" s="1852" t="s">
        <v>2579</v>
      </c>
      <c r="B375" s="1462"/>
      <c r="C375" s="1456">
        <v>586</v>
      </c>
      <c r="D375" s="1456">
        <v>586</v>
      </c>
      <c r="E375" s="1462"/>
      <c r="O375" s="1541">
        <f t="shared" si="13"/>
        <v>0</v>
      </c>
      <c r="P375" s="1541">
        <f t="shared" si="13"/>
        <v>586</v>
      </c>
      <c r="Q375" s="1541">
        <f t="shared" si="13"/>
        <v>586</v>
      </c>
      <c r="R375" s="1541">
        <f t="shared" si="12"/>
        <v>0</v>
      </c>
    </row>
    <row r="376" spans="1:18" x14ac:dyDescent="0.3">
      <c r="A376" s="1855" t="s">
        <v>2580</v>
      </c>
      <c r="B376" s="1462"/>
      <c r="C376" s="1456">
        <v>295200</v>
      </c>
      <c r="D376" s="1456">
        <v>295200</v>
      </c>
      <c r="E376" s="1462"/>
      <c r="O376" s="1541">
        <f t="shared" si="13"/>
        <v>0</v>
      </c>
      <c r="P376" s="1541">
        <f t="shared" si="13"/>
        <v>295200</v>
      </c>
      <c r="Q376" s="1541">
        <f t="shared" si="13"/>
        <v>295200</v>
      </c>
      <c r="R376" s="1541">
        <f t="shared" si="12"/>
        <v>0</v>
      </c>
    </row>
    <row r="377" spans="1:18" x14ac:dyDescent="0.3">
      <c r="A377" s="1855" t="s">
        <v>2581</v>
      </c>
      <c r="B377" s="1462"/>
      <c r="C377" s="1456">
        <v>30008</v>
      </c>
      <c r="D377" s="1456">
        <v>30008</v>
      </c>
      <c r="E377" s="1462"/>
      <c r="O377" s="1541">
        <f t="shared" si="13"/>
        <v>0</v>
      </c>
      <c r="P377" s="1541">
        <f t="shared" si="13"/>
        <v>30008</v>
      </c>
      <c r="Q377" s="1541">
        <f t="shared" si="13"/>
        <v>30008</v>
      </c>
      <c r="R377" s="1541">
        <f t="shared" si="12"/>
        <v>0</v>
      </c>
    </row>
    <row r="378" spans="1:18" x14ac:dyDescent="0.3">
      <c r="A378" s="1852" t="s">
        <v>2582</v>
      </c>
      <c r="B378" s="1462"/>
      <c r="C378" s="1456">
        <v>3376</v>
      </c>
      <c r="D378" s="1456">
        <v>3376</v>
      </c>
      <c r="E378" s="1462"/>
      <c r="O378" s="1541">
        <f t="shared" si="13"/>
        <v>0</v>
      </c>
      <c r="P378" s="1541">
        <f t="shared" si="13"/>
        <v>3376</v>
      </c>
      <c r="Q378" s="1541">
        <f t="shared" si="13"/>
        <v>3376</v>
      </c>
      <c r="R378" s="1541">
        <f t="shared" si="12"/>
        <v>0</v>
      </c>
    </row>
    <row r="379" spans="1:18" x14ac:dyDescent="0.3">
      <c r="A379" s="1852" t="s">
        <v>2583</v>
      </c>
      <c r="B379" s="1462"/>
      <c r="C379" s="1456">
        <v>1392</v>
      </c>
      <c r="D379" s="1456">
        <v>1392</v>
      </c>
      <c r="E379" s="1462"/>
      <c r="O379" s="1541">
        <f t="shared" si="13"/>
        <v>0</v>
      </c>
      <c r="P379" s="1541">
        <f t="shared" si="13"/>
        <v>1392</v>
      </c>
      <c r="Q379" s="1541">
        <f t="shared" si="13"/>
        <v>1392</v>
      </c>
      <c r="R379" s="1541">
        <f t="shared" si="12"/>
        <v>0</v>
      </c>
    </row>
    <row r="380" spans="1:18" x14ac:dyDescent="0.3">
      <c r="A380" s="1852" t="s">
        <v>2584</v>
      </c>
      <c r="B380" s="1462"/>
      <c r="C380" s="1456">
        <v>10905</v>
      </c>
      <c r="D380" s="1456">
        <v>10905</v>
      </c>
      <c r="E380" s="1462"/>
      <c r="O380" s="1541">
        <f t="shared" si="13"/>
        <v>0</v>
      </c>
      <c r="P380" s="1541">
        <f t="shared" si="13"/>
        <v>10905</v>
      </c>
      <c r="Q380" s="1541">
        <f t="shared" si="13"/>
        <v>10905</v>
      </c>
      <c r="R380" s="1541">
        <f t="shared" si="12"/>
        <v>0</v>
      </c>
    </row>
    <row r="381" spans="1:18" x14ac:dyDescent="0.3">
      <c r="A381" s="1852" t="s">
        <v>2585</v>
      </c>
      <c r="B381" s="1462"/>
      <c r="C381" s="1456">
        <v>101995.02</v>
      </c>
      <c r="D381" s="1456">
        <v>95195</v>
      </c>
      <c r="E381" s="1896">
        <v>6800.02</v>
      </c>
      <c r="O381" s="1541">
        <f t="shared" si="13"/>
        <v>0</v>
      </c>
      <c r="P381" s="1541">
        <f t="shared" si="13"/>
        <v>101995.02</v>
      </c>
      <c r="Q381" s="1541">
        <f t="shared" si="13"/>
        <v>95195</v>
      </c>
      <c r="R381" s="1541">
        <f t="shared" si="12"/>
        <v>6800.02</v>
      </c>
    </row>
    <row r="382" spans="1:18" x14ac:dyDescent="0.3">
      <c r="A382" s="1852" t="s">
        <v>2586</v>
      </c>
      <c r="B382" s="1462"/>
      <c r="C382" s="1456">
        <v>3520</v>
      </c>
      <c r="D382" s="1456">
        <v>3520</v>
      </c>
      <c r="E382" s="1462"/>
      <c r="O382" s="1541">
        <f t="shared" si="13"/>
        <v>0</v>
      </c>
      <c r="P382" s="1541">
        <f t="shared" si="13"/>
        <v>3520</v>
      </c>
      <c r="Q382" s="1541">
        <f t="shared" si="13"/>
        <v>3520</v>
      </c>
      <c r="R382" s="1541">
        <f t="shared" si="12"/>
        <v>0</v>
      </c>
    </row>
    <row r="383" spans="1:18" x14ac:dyDescent="0.3">
      <c r="A383" s="1852" t="s">
        <v>2587</v>
      </c>
      <c r="B383" s="1462"/>
      <c r="C383" s="1456">
        <v>1900</v>
      </c>
      <c r="D383" s="1456">
        <v>1900</v>
      </c>
      <c r="E383" s="1462"/>
      <c r="O383" s="1541">
        <f t="shared" si="13"/>
        <v>0</v>
      </c>
      <c r="P383" s="1541">
        <f t="shared" si="13"/>
        <v>1900</v>
      </c>
      <c r="Q383" s="1541">
        <f t="shared" si="13"/>
        <v>1900</v>
      </c>
      <c r="R383" s="1541">
        <f t="shared" si="12"/>
        <v>0</v>
      </c>
    </row>
    <row r="384" spans="1:18" x14ac:dyDescent="0.3">
      <c r="A384" s="1852" t="s">
        <v>2588</v>
      </c>
      <c r="B384" s="1462"/>
      <c r="C384" s="1456">
        <v>600</v>
      </c>
      <c r="D384" s="1456">
        <v>600</v>
      </c>
      <c r="E384" s="1462"/>
      <c r="O384" s="1541">
        <f t="shared" si="13"/>
        <v>0</v>
      </c>
      <c r="P384" s="1541">
        <f t="shared" si="13"/>
        <v>600</v>
      </c>
      <c r="Q384" s="1541">
        <f t="shared" si="13"/>
        <v>600</v>
      </c>
      <c r="R384" s="1541">
        <f t="shared" si="12"/>
        <v>0</v>
      </c>
    </row>
    <row r="385" spans="1:18" x14ac:dyDescent="0.3">
      <c r="A385" s="1852" t="s">
        <v>2589</v>
      </c>
      <c r="B385" s="1462"/>
      <c r="C385" s="1456">
        <v>3380</v>
      </c>
      <c r="D385" s="1456">
        <v>3380</v>
      </c>
      <c r="E385" s="1462"/>
      <c r="O385" s="1541">
        <f t="shared" si="13"/>
        <v>0</v>
      </c>
      <c r="P385" s="1541">
        <f t="shared" si="13"/>
        <v>3380</v>
      </c>
      <c r="Q385" s="1541">
        <f t="shared" si="13"/>
        <v>3380</v>
      </c>
      <c r="R385" s="1541">
        <f t="shared" si="12"/>
        <v>0</v>
      </c>
    </row>
    <row r="386" spans="1:18" x14ac:dyDescent="0.3">
      <c r="A386" s="1852" t="s">
        <v>2590</v>
      </c>
      <c r="B386" s="1462"/>
      <c r="C386" s="1456">
        <v>200</v>
      </c>
      <c r="D386" s="1456">
        <v>200</v>
      </c>
      <c r="E386" s="1462"/>
      <c r="O386" s="1541">
        <f t="shared" si="13"/>
        <v>0</v>
      </c>
      <c r="P386" s="1541">
        <f t="shared" si="13"/>
        <v>200</v>
      </c>
      <c r="Q386" s="1541">
        <f t="shared" si="13"/>
        <v>200</v>
      </c>
      <c r="R386" s="1541">
        <f t="shared" si="12"/>
        <v>0</v>
      </c>
    </row>
    <row r="387" spans="1:18" x14ac:dyDescent="0.3">
      <c r="A387" s="1855" t="s">
        <v>2591</v>
      </c>
      <c r="B387" s="1462"/>
      <c r="C387" s="1456">
        <v>2708</v>
      </c>
      <c r="D387" s="1456">
        <v>2708</v>
      </c>
      <c r="E387" s="1462"/>
      <c r="O387" s="1541">
        <f t="shared" si="13"/>
        <v>0</v>
      </c>
      <c r="P387" s="1541">
        <f t="shared" si="13"/>
        <v>2708</v>
      </c>
      <c r="Q387" s="1541">
        <f t="shared" si="13"/>
        <v>2708</v>
      </c>
      <c r="R387" s="1541">
        <f t="shared" si="12"/>
        <v>0</v>
      </c>
    </row>
    <row r="388" spans="1:18" x14ac:dyDescent="0.3">
      <c r="A388" s="1852" t="s">
        <v>2592</v>
      </c>
      <c r="B388" s="1462"/>
      <c r="C388" s="1456">
        <v>726</v>
      </c>
      <c r="D388" s="1456">
        <v>726</v>
      </c>
      <c r="E388" s="1462"/>
      <c r="O388" s="1541">
        <f t="shared" si="13"/>
        <v>0</v>
      </c>
      <c r="P388" s="1541">
        <f t="shared" si="13"/>
        <v>726</v>
      </c>
      <c r="Q388" s="1541">
        <f t="shared" si="13"/>
        <v>726</v>
      </c>
      <c r="R388" s="1541">
        <f t="shared" si="12"/>
        <v>0</v>
      </c>
    </row>
    <row r="389" spans="1:18" x14ac:dyDescent="0.3">
      <c r="A389" s="1855" t="s">
        <v>2593</v>
      </c>
      <c r="B389" s="1462"/>
      <c r="C389" s="1456">
        <v>340</v>
      </c>
      <c r="D389" s="1456">
        <v>340</v>
      </c>
      <c r="E389" s="1462"/>
      <c r="O389" s="1541">
        <f t="shared" si="13"/>
        <v>0</v>
      </c>
      <c r="P389" s="1541">
        <f t="shared" si="13"/>
        <v>340</v>
      </c>
      <c r="Q389" s="1541">
        <f t="shared" si="13"/>
        <v>340</v>
      </c>
      <c r="R389" s="1541">
        <f t="shared" si="12"/>
        <v>0</v>
      </c>
    </row>
    <row r="390" spans="1:18" x14ac:dyDescent="0.3">
      <c r="A390" s="1852" t="s">
        <v>2594</v>
      </c>
      <c r="B390" s="1462"/>
      <c r="C390" s="1456">
        <v>32105</v>
      </c>
      <c r="D390" s="1456">
        <v>32105</v>
      </c>
      <c r="E390" s="1462"/>
      <c r="O390" s="1541">
        <f t="shared" si="13"/>
        <v>0</v>
      </c>
      <c r="P390" s="1541">
        <f t="shared" si="13"/>
        <v>32105</v>
      </c>
      <c r="Q390" s="1541">
        <f t="shared" si="13"/>
        <v>32105</v>
      </c>
      <c r="R390" s="1541">
        <f t="shared" si="12"/>
        <v>0</v>
      </c>
    </row>
    <row r="391" spans="1:18" x14ac:dyDescent="0.3">
      <c r="A391" s="1852" t="s">
        <v>2595</v>
      </c>
      <c r="B391" s="1462"/>
      <c r="C391" s="1456">
        <v>10982</v>
      </c>
      <c r="D391" s="1456">
        <v>10982</v>
      </c>
      <c r="E391" s="1462"/>
      <c r="O391" s="1541">
        <f t="shared" si="13"/>
        <v>0</v>
      </c>
      <c r="P391" s="1541">
        <f t="shared" si="13"/>
        <v>10982</v>
      </c>
      <c r="Q391" s="1541">
        <f t="shared" si="13"/>
        <v>10982</v>
      </c>
      <c r="R391" s="1541">
        <f t="shared" si="12"/>
        <v>0</v>
      </c>
    </row>
    <row r="392" spans="1:18" x14ac:dyDescent="0.3">
      <c r="A392" s="1852" t="s">
        <v>2596</v>
      </c>
      <c r="B392" s="1462"/>
      <c r="C392" s="1456">
        <v>138357</v>
      </c>
      <c r="D392" s="1456">
        <v>138357</v>
      </c>
      <c r="E392" s="1462"/>
      <c r="O392" s="1541">
        <f t="shared" si="13"/>
        <v>0</v>
      </c>
      <c r="P392" s="1541">
        <f t="shared" si="13"/>
        <v>138357</v>
      </c>
      <c r="Q392" s="1541">
        <f t="shared" si="13"/>
        <v>138357</v>
      </c>
      <c r="R392" s="1541">
        <f t="shared" si="12"/>
        <v>0</v>
      </c>
    </row>
    <row r="393" spans="1:18" x14ac:dyDescent="0.3">
      <c r="A393" s="1852" t="s">
        <v>2597</v>
      </c>
      <c r="B393" s="1462"/>
      <c r="C393" s="1456">
        <v>55206.04</v>
      </c>
      <c r="D393" s="1456">
        <v>55206</v>
      </c>
      <c r="E393" s="1896">
        <v>0.04</v>
      </c>
      <c r="O393" s="1541">
        <f t="shared" si="13"/>
        <v>0</v>
      </c>
      <c r="P393" s="1541">
        <f t="shared" si="13"/>
        <v>55206.04</v>
      </c>
      <c r="Q393" s="1541">
        <f t="shared" si="13"/>
        <v>55206</v>
      </c>
      <c r="R393" s="1541">
        <f t="shared" si="12"/>
        <v>0.04</v>
      </c>
    </row>
    <row r="394" spans="1:18" x14ac:dyDescent="0.3">
      <c r="A394" s="1855" t="s">
        <v>2598</v>
      </c>
      <c r="B394" s="1462"/>
      <c r="C394" s="1456">
        <v>1428</v>
      </c>
      <c r="D394" s="1456">
        <v>1428</v>
      </c>
      <c r="E394" s="1462"/>
      <c r="O394" s="1541">
        <f t="shared" si="13"/>
        <v>0</v>
      </c>
      <c r="P394" s="1541">
        <f t="shared" si="13"/>
        <v>1428</v>
      </c>
      <c r="Q394" s="1541">
        <f t="shared" si="13"/>
        <v>1428</v>
      </c>
      <c r="R394" s="1541">
        <f t="shared" si="12"/>
        <v>0</v>
      </c>
    </row>
    <row r="395" spans="1:18" x14ac:dyDescent="0.3">
      <c r="A395" s="1855" t="s">
        <v>2599</v>
      </c>
      <c r="B395" s="1462"/>
      <c r="C395" s="1456">
        <v>520</v>
      </c>
      <c r="D395" s="1456">
        <v>520</v>
      </c>
      <c r="E395" s="1462"/>
      <c r="O395" s="1541">
        <f t="shared" si="13"/>
        <v>0</v>
      </c>
      <c r="P395" s="1541">
        <f t="shared" si="13"/>
        <v>520</v>
      </c>
      <c r="Q395" s="1541">
        <f t="shared" si="13"/>
        <v>520</v>
      </c>
      <c r="R395" s="1541">
        <f t="shared" si="12"/>
        <v>0</v>
      </c>
    </row>
    <row r="396" spans="1:18" x14ac:dyDescent="0.3">
      <c r="A396" s="1855" t="s">
        <v>2600</v>
      </c>
      <c r="B396" s="1462"/>
      <c r="C396" s="1456">
        <v>4686</v>
      </c>
      <c r="D396" s="1456">
        <v>4686</v>
      </c>
      <c r="E396" s="1462"/>
      <c r="O396" s="1541">
        <f t="shared" si="13"/>
        <v>0</v>
      </c>
      <c r="P396" s="1541">
        <f t="shared" si="13"/>
        <v>4686</v>
      </c>
      <c r="Q396" s="1541">
        <f t="shared" si="13"/>
        <v>4686</v>
      </c>
      <c r="R396" s="1541">
        <f t="shared" si="12"/>
        <v>0</v>
      </c>
    </row>
    <row r="397" spans="1:18" x14ac:dyDescent="0.3">
      <c r="A397" s="1855" t="s">
        <v>2601</v>
      </c>
      <c r="B397" s="1462"/>
      <c r="C397" s="1456">
        <v>4817</v>
      </c>
      <c r="D397" s="1456">
        <v>4817</v>
      </c>
      <c r="E397" s="1462"/>
      <c r="O397" s="1541">
        <f t="shared" si="13"/>
        <v>0</v>
      </c>
      <c r="P397" s="1541">
        <f t="shared" si="13"/>
        <v>4817</v>
      </c>
      <c r="Q397" s="1541">
        <f t="shared" si="13"/>
        <v>4817</v>
      </c>
      <c r="R397" s="1541">
        <f t="shared" si="12"/>
        <v>0</v>
      </c>
    </row>
    <row r="398" spans="1:18" x14ac:dyDescent="0.3">
      <c r="A398" s="1852" t="s">
        <v>2602</v>
      </c>
      <c r="B398" s="1462"/>
      <c r="C398" s="1456">
        <v>13062</v>
      </c>
      <c r="D398" s="1456">
        <v>13062</v>
      </c>
      <c r="E398" s="1462"/>
      <c r="O398" s="1541">
        <f t="shared" si="13"/>
        <v>0</v>
      </c>
      <c r="P398" s="1541">
        <f t="shared" si="13"/>
        <v>13062</v>
      </c>
      <c r="Q398" s="1541">
        <f t="shared" si="13"/>
        <v>13062</v>
      </c>
      <c r="R398" s="1541">
        <f t="shared" si="12"/>
        <v>0</v>
      </c>
    </row>
    <row r="399" spans="1:18" x14ac:dyDescent="0.3">
      <c r="A399" s="1852" t="s">
        <v>2603</v>
      </c>
      <c r="B399" s="1462"/>
      <c r="C399" s="1456">
        <v>6904</v>
      </c>
      <c r="D399" s="1456">
        <v>6903.97</v>
      </c>
      <c r="E399" s="1896">
        <v>0.03</v>
      </c>
      <c r="O399" s="1541">
        <f t="shared" si="13"/>
        <v>0</v>
      </c>
      <c r="P399" s="1541">
        <f t="shared" si="13"/>
        <v>6904</v>
      </c>
      <c r="Q399" s="1541">
        <f t="shared" si="13"/>
        <v>6903.97</v>
      </c>
      <c r="R399" s="1541">
        <f t="shared" si="12"/>
        <v>0.03</v>
      </c>
    </row>
    <row r="400" spans="1:18" x14ac:dyDescent="0.3">
      <c r="A400" s="1852" t="s">
        <v>2604</v>
      </c>
      <c r="B400" s="1462"/>
      <c r="C400" s="1456">
        <v>6395.01</v>
      </c>
      <c r="D400" s="1456">
        <v>6395</v>
      </c>
      <c r="E400" s="1896">
        <v>0.01</v>
      </c>
      <c r="O400" s="1541">
        <f t="shared" si="13"/>
        <v>0</v>
      </c>
      <c r="P400" s="1541">
        <f t="shared" si="13"/>
        <v>6395.01</v>
      </c>
      <c r="Q400" s="1541">
        <f t="shared" si="13"/>
        <v>6395</v>
      </c>
      <c r="R400" s="1541">
        <f t="shared" si="12"/>
        <v>0.01</v>
      </c>
    </row>
    <row r="401" spans="1:18" x14ac:dyDescent="0.3">
      <c r="A401" s="1852" t="s">
        <v>2605</v>
      </c>
      <c r="B401" s="1462"/>
      <c r="C401" s="1456">
        <v>2554</v>
      </c>
      <c r="D401" s="1456">
        <v>2554</v>
      </c>
      <c r="E401" s="1462"/>
      <c r="O401" s="1541">
        <f t="shared" si="13"/>
        <v>0</v>
      </c>
      <c r="P401" s="1541">
        <f t="shared" si="13"/>
        <v>2554</v>
      </c>
      <c r="Q401" s="1541">
        <f t="shared" si="13"/>
        <v>2554</v>
      </c>
      <c r="R401" s="1541">
        <f t="shared" si="12"/>
        <v>0</v>
      </c>
    </row>
    <row r="402" spans="1:18" x14ac:dyDescent="0.3">
      <c r="A402" s="1852" t="s">
        <v>2606</v>
      </c>
      <c r="B402" s="1462"/>
      <c r="C402" s="1456">
        <v>4200</v>
      </c>
      <c r="D402" s="1456">
        <v>4200</v>
      </c>
      <c r="E402" s="1462"/>
      <c r="O402" s="1541">
        <f t="shared" si="13"/>
        <v>0</v>
      </c>
      <c r="P402" s="1541">
        <f t="shared" si="13"/>
        <v>4200</v>
      </c>
      <c r="Q402" s="1541">
        <f t="shared" si="13"/>
        <v>4200</v>
      </c>
      <c r="R402" s="1541">
        <f t="shared" si="12"/>
        <v>0</v>
      </c>
    </row>
    <row r="403" spans="1:18" x14ac:dyDescent="0.3">
      <c r="A403" s="1852" t="s">
        <v>2607</v>
      </c>
      <c r="B403" s="1462"/>
      <c r="C403" s="1456">
        <v>4380</v>
      </c>
      <c r="D403" s="1456">
        <v>4380</v>
      </c>
      <c r="E403" s="1462"/>
      <c r="O403" s="1541">
        <f t="shared" si="13"/>
        <v>0</v>
      </c>
      <c r="P403" s="1541">
        <f t="shared" si="13"/>
        <v>4380</v>
      </c>
      <c r="Q403" s="1541">
        <f t="shared" si="13"/>
        <v>4380</v>
      </c>
      <c r="R403" s="1541">
        <f t="shared" si="12"/>
        <v>0</v>
      </c>
    </row>
    <row r="404" spans="1:18" x14ac:dyDescent="0.3">
      <c r="A404" s="1855" t="s">
        <v>2608</v>
      </c>
      <c r="B404" s="1462"/>
      <c r="C404" s="1456">
        <v>2652</v>
      </c>
      <c r="D404" s="1456">
        <v>2652</v>
      </c>
      <c r="E404" s="1462"/>
      <c r="O404" s="1541">
        <f t="shared" si="13"/>
        <v>0</v>
      </c>
      <c r="P404" s="1541">
        <f t="shared" si="13"/>
        <v>2652</v>
      </c>
      <c r="Q404" s="1541">
        <f t="shared" si="13"/>
        <v>2652</v>
      </c>
      <c r="R404" s="1541">
        <f t="shared" si="12"/>
        <v>0</v>
      </c>
    </row>
    <row r="405" spans="1:18" x14ac:dyDescent="0.3">
      <c r="A405" s="1852" t="s">
        <v>2609</v>
      </c>
      <c r="B405" s="1462"/>
      <c r="C405" s="1456">
        <v>6726</v>
      </c>
      <c r="D405" s="1456">
        <v>6726</v>
      </c>
      <c r="E405" s="1462"/>
      <c r="O405" s="1541">
        <f t="shared" si="13"/>
        <v>0</v>
      </c>
      <c r="P405" s="1541">
        <f t="shared" si="13"/>
        <v>6726</v>
      </c>
      <c r="Q405" s="1541">
        <f t="shared" si="13"/>
        <v>6726</v>
      </c>
      <c r="R405" s="1541">
        <f t="shared" si="12"/>
        <v>0</v>
      </c>
    </row>
    <row r="406" spans="1:18" x14ac:dyDescent="0.3">
      <c r="A406" s="1852" t="s">
        <v>2610</v>
      </c>
      <c r="B406" s="1462"/>
      <c r="C406" s="1456">
        <v>506</v>
      </c>
      <c r="D406" s="1456">
        <v>506</v>
      </c>
      <c r="E406" s="1462"/>
      <c r="O406" s="1541">
        <f t="shared" si="13"/>
        <v>0</v>
      </c>
      <c r="P406" s="1541">
        <f t="shared" si="13"/>
        <v>506</v>
      </c>
      <c r="Q406" s="1541">
        <f t="shared" si="13"/>
        <v>506</v>
      </c>
      <c r="R406" s="1541">
        <f t="shared" si="12"/>
        <v>0</v>
      </c>
    </row>
    <row r="407" spans="1:18" x14ac:dyDescent="0.3">
      <c r="A407" s="1852" t="s">
        <v>2611</v>
      </c>
      <c r="B407" s="1462"/>
      <c r="C407" s="1456">
        <v>21336</v>
      </c>
      <c r="D407" s="1456">
        <v>20754</v>
      </c>
      <c r="E407" s="1896">
        <v>582</v>
      </c>
      <c r="O407" s="1541">
        <f t="shared" si="13"/>
        <v>0</v>
      </c>
      <c r="P407" s="1541">
        <f t="shared" si="13"/>
        <v>21336</v>
      </c>
      <c r="Q407" s="1541">
        <f t="shared" si="13"/>
        <v>20754</v>
      </c>
      <c r="R407" s="1541">
        <f t="shared" si="12"/>
        <v>582</v>
      </c>
    </row>
    <row r="408" spans="1:18" x14ac:dyDescent="0.3">
      <c r="A408" s="1852" t="s">
        <v>2612</v>
      </c>
      <c r="B408" s="1462"/>
      <c r="C408" s="1456">
        <v>1388</v>
      </c>
      <c r="D408" s="1456">
        <v>1388</v>
      </c>
      <c r="E408" s="1462"/>
      <c r="O408" s="1541">
        <f t="shared" si="13"/>
        <v>0</v>
      </c>
      <c r="P408" s="1541">
        <f t="shared" si="13"/>
        <v>1388</v>
      </c>
      <c r="Q408" s="1541">
        <f t="shared" si="13"/>
        <v>1388</v>
      </c>
      <c r="R408" s="1541">
        <f t="shared" si="12"/>
        <v>0</v>
      </c>
    </row>
    <row r="409" spans="1:18" x14ac:dyDescent="0.3">
      <c r="A409" s="1852" t="s">
        <v>2613</v>
      </c>
      <c r="B409" s="1462"/>
      <c r="C409" s="1456">
        <v>2548</v>
      </c>
      <c r="D409" s="1456">
        <v>2548</v>
      </c>
      <c r="E409" s="1462"/>
      <c r="O409" s="1541">
        <f t="shared" si="13"/>
        <v>0</v>
      </c>
      <c r="P409" s="1541">
        <f t="shared" si="13"/>
        <v>2548</v>
      </c>
      <c r="Q409" s="1541">
        <f t="shared" si="13"/>
        <v>2548</v>
      </c>
      <c r="R409" s="1541">
        <f t="shared" si="12"/>
        <v>0</v>
      </c>
    </row>
    <row r="410" spans="1:18" x14ac:dyDescent="0.3">
      <c r="A410" s="1852" t="s">
        <v>2614</v>
      </c>
      <c r="B410" s="1462"/>
      <c r="C410" s="1456">
        <v>1006</v>
      </c>
      <c r="D410" s="1456">
        <v>1006</v>
      </c>
      <c r="E410" s="1462"/>
      <c r="O410" s="1541">
        <f t="shared" si="13"/>
        <v>0</v>
      </c>
      <c r="P410" s="1541">
        <f t="shared" si="13"/>
        <v>1006</v>
      </c>
      <c r="Q410" s="1541">
        <f t="shared" si="13"/>
        <v>1006</v>
      </c>
      <c r="R410" s="1541">
        <f t="shared" si="12"/>
        <v>0</v>
      </c>
    </row>
    <row r="411" spans="1:18" x14ac:dyDescent="0.3">
      <c r="A411" s="1855" t="s">
        <v>2615</v>
      </c>
      <c r="B411" s="1462"/>
      <c r="C411" s="1456">
        <v>612</v>
      </c>
      <c r="D411" s="1456">
        <v>612</v>
      </c>
      <c r="E411" s="1462"/>
      <c r="O411" s="1541">
        <f t="shared" si="13"/>
        <v>0</v>
      </c>
      <c r="P411" s="1541">
        <f t="shared" si="13"/>
        <v>612</v>
      </c>
      <c r="Q411" s="1541">
        <f t="shared" si="13"/>
        <v>612</v>
      </c>
      <c r="R411" s="1541">
        <f t="shared" si="12"/>
        <v>0</v>
      </c>
    </row>
    <row r="412" spans="1:18" x14ac:dyDescent="0.3">
      <c r="A412" s="1852" t="s">
        <v>2616</v>
      </c>
      <c r="B412" s="1462"/>
      <c r="C412" s="1456">
        <v>1330</v>
      </c>
      <c r="D412" s="1456">
        <v>1330</v>
      </c>
      <c r="E412" s="1462"/>
      <c r="O412" s="1541">
        <f t="shared" si="13"/>
        <v>0</v>
      </c>
      <c r="P412" s="1541">
        <f t="shared" si="13"/>
        <v>1330</v>
      </c>
      <c r="Q412" s="1541">
        <f t="shared" si="13"/>
        <v>1330</v>
      </c>
      <c r="R412" s="1541">
        <f t="shared" si="12"/>
        <v>0</v>
      </c>
    </row>
    <row r="413" spans="1:18" x14ac:dyDescent="0.3">
      <c r="A413" s="1852" t="s">
        <v>2617</v>
      </c>
      <c r="B413" s="1462"/>
      <c r="C413" s="1456">
        <v>3878</v>
      </c>
      <c r="D413" s="1456">
        <v>3878</v>
      </c>
      <c r="E413" s="1462"/>
      <c r="O413" s="1541">
        <f t="shared" si="13"/>
        <v>0</v>
      </c>
      <c r="P413" s="1541">
        <f t="shared" si="13"/>
        <v>3878</v>
      </c>
      <c r="Q413" s="1541">
        <f t="shared" si="13"/>
        <v>3878</v>
      </c>
      <c r="R413" s="1541">
        <f t="shared" si="12"/>
        <v>0</v>
      </c>
    </row>
    <row r="414" spans="1:18" x14ac:dyDescent="0.3">
      <c r="A414" s="1852" t="s">
        <v>2618</v>
      </c>
      <c r="B414" s="1462"/>
      <c r="C414" s="1456">
        <v>34416.01</v>
      </c>
      <c r="D414" s="1456">
        <v>34416</v>
      </c>
      <c r="E414" s="1896">
        <v>0.01</v>
      </c>
      <c r="O414" s="1541">
        <f t="shared" si="13"/>
        <v>0</v>
      </c>
      <c r="P414" s="1541">
        <f t="shared" si="13"/>
        <v>34416.01</v>
      </c>
      <c r="Q414" s="1541">
        <f t="shared" si="13"/>
        <v>34416</v>
      </c>
      <c r="R414" s="1541">
        <f t="shared" si="12"/>
        <v>0.01</v>
      </c>
    </row>
    <row r="415" spans="1:18" x14ac:dyDescent="0.3">
      <c r="A415" s="1852" t="s">
        <v>2619</v>
      </c>
      <c r="B415" s="1462"/>
      <c r="C415" s="1456">
        <v>380</v>
      </c>
      <c r="D415" s="1456">
        <v>380</v>
      </c>
      <c r="E415" s="1462"/>
      <c r="O415" s="1541">
        <f t="shared" si="13"/>
        <v>0</v>
      </c>
      <c r="P415" s="1541">
        <f t="shared" si="13"/>
        <v>380</v>
      </c>
      <c r="Q415" s="1541">
        <f t="shared" si="13"/>
        <v>380</v>
      </c>
      <c r="R415" s="1541">
        <f t="shared" si="12"/>
        <v>0</v>
      </c>
    </row>
    <row r="416" spans="1:18" x14ac:dyDescent="0.3">
      <c r="A416" s="1852" t="s">
        <v>2620</v>
      </c>
      <c r="B416" s="1462"/>
      <c r="C416" s="1456">
        <v>1252</v>
      </c>
      <c r="D416" s="1456">
        <v>1252</v>
      </c>
      <c r="E416" s="1462"/>
      <c r="O416" s="1541">
        <f t="shared" si="13"/>
        <v>0</v>
      </c>
      <c r="P416" s="1541">
        <f t="shared" si="13"/>
        <v>1252</v>
      </c>
      <c r="Q416" s="1541">
        <f t="shared" si="13"/>
        <v>1252</v>
      </c>
      <c r="R416" s="1541">
        <f t="shared" si="12"/>
        <v>0</v>
      </c>
    </row>
    <row r="417" spans="1:18" x14ac:dyDescent="0.3">
      <c r="A417" s="1852" t="s">
        <v>2621</v>
      </c>
      <c r="B417" s="1462"/>
      <c r="C417" s="1456">
        <v>2859</v>
      </c>
      <c r="D417" s="1456">
        <v>2859</v>
      </c>
      <c r="E417" s="1462"/>
      <c r="O417" s="1541">
        <f t="shared" si="13"/>
        <v>0</v>
      </c>
      <c r="P417" s="1541">
        <f t="shared" si="13"/>
        <v>2859</v>
      </c>
      <c r="Q417" s="1541">
        <f t="shared" si="13"/>
        <v>2859</v>
      </c>
      <c r="R417" s="1541">
        <f t="shared" si="12"/>
        <v>0</v>
      </c>
    </row>
    <row r="418" spans="1:18" x14ac:dyDescent="0.3">
      <c r="A418" s="1852" t="s">
        <v>2622</v>
      </c>
      <c r="B418" s="1462"/>
      <c r="C418" s="1456">
        <v>3360</v>
      </c>
      <c r="D418" s="1456">
        <v>3360</v>
      </c>
      <c r="E418" s="1462"/>
      <c r="O418" s="1541">
        <f t="shared" si="13"/>
        <v>0</v>
      </c>
      <c r="P418" s="1541">
        <f t="shared" si="13"/>
        <v>3360</v>
      </c>
      <c r="Q418" s="1541">
        <f t="shared" si="13"/>
        <v>3360</v>
      </c>
      <c r="R418" s="1541">
        <f t="shared" si="12"/>
        <v>0</v>
      </c>
    </row>
    <row r="419" spans="1:18" x14ac:dyDescent="0.3">
      <c r="A419" s="1852" t="s">
        <v>2623</v>
      </c>
      <c r="B419" s="1462"/>
      <c r="C419" s="1456">
        <v>68450</v>
      </c>
      <c r="D419" s="1456">
        <v>68450</v>
      </c>
      <c r="E419" s="1462"/>
      <c r="O419" s="1541">
        <f t="shared" si="13"/>
        <v>0</v>
      </c>
      <c r="P419" s="1541">
        <f t="shared" si="13"/>
        <v>68450</v>
      </c>
      <c r="Q419" s="1541">
        <f t="shared" si="13"/>
        <v>68450</v>
      </c>
      <c r="R419" s="1541">
        <f t="shared" si="12"/>
        <v>0</v>
      </c>
    </row>
    <row r="420" spans="1:18" x14ac:dyDescent="0.3">
      <c r="A420" s="1852" t="s">
        <v>2624</v>
      </c>
      <c r="B420" s="1462"/>
      <c r="C420" s="1456">
        <v>800</v>
      </c>
      <c r="D420" s="1456">
        <v>800</v>
      </c>
      <c r="E420" s="1462"/>
      <c r="O420" s="1541">
        <f t="shared" si="13"/>
        <v>0</v>
      </c>
      <c r="P420" s="1541">
        <f t="shared" si="13"/>
        <v>800</v>
      </c>
      <c r="Q420" s="1541">
        <f t="shared" si="13"/>
        <v>800</v>
      </c>
      <c r="R420" s="1541">
        <f t="shared" si="12"/>
        <v>0</v>
      </c>
    </row>
    <row r="421" spans="1:18" x14ac:dyDescent="0.3">
      <c r="A421" s="1852" t="s">
        <v>2625</v>
      </c>
      <c r="B421" s="1462"/>
      <c r="C421" s="1456">
        <v>8380</v>
      </c>
      <c r="D421" s="1456">
        <v>6980</v>
      </c>
      <c r="E421" s="1896">
        <v>1400</v>
      </c>
      <c r="O421" s="1541">
        <f t="shared" si="13"/>
        <v>0</v>
      </c>
      <c r="P421" s="1541">
        <f t="shared" si="13"/>
        <v>8380</v>
      </c>
      <c r="Q421" s="1541">
        <f t="shared" si="13"/>
        <v>6980</v>
      </c>
      <c r="R421" s="1541">
        <f t="shared" si="12"/>
        <v>1400</v>
      </c>
    </row>
    <row r="422" spans="1:18" x14ac:dyDescent="0.3">
      <c r="A422" s="1852" t="s">
        <v>2626</v>
      </c>
      <c r="B422" s="1462"/>
      <c r="C422" s="1456">
        <v>12360.01</v>
      </c>
      <c r="D422" s="1456">
        <v>12360</v>
      </c>
      <c r="E422" s="1896">
        <v>0.01</v>
      </c>
      <c r="O422" s="1541">
        <f t="shared" si="13"/>
        <v>0</v>
      </c>
      <c r="P422" s="1541">
        <f t="shared" si="13"/>
        <v>12360.01</v>
      </c>
      <c r="Q422" s="1541">
        <f t="shared" si="13"/>
        <v>12360</v>
      </c>
      <c r="R422" s="1541">
        <f t="shared" si="12"/>
        <v>0.01</v>
      </c>
    </row>
    <row r="423" spans="1:18" x14ac:dyDescent="0.3">
      <c r="A423" s="1852" t="s">
        <v>2627</v>
      </c>
      <c r="B423" s="1462"/>
      <c r="C423" s="1456">
        <v>166</v>
      </c>
      <c r="D423" s="1456">
        <v>166</v>
      </c>
      <c r="E423" s="1462"/>
      <c r="O423" s="1541">
        <f t="shared" si="13"/>
        <v>0</v>
      </c>
      <c r="P423" s="1541">
        <f t="shared" si="13"/>
        <v>166</v>
      </c>
      <c r="Q423" s="1541">
        <f t="shared" si="13"/>
        <v>166</v>
      </c>
      <c r="R423" s="1541">
        <f t="shared" si="12"/>
        <v>0</v>
      </c>
    </row>
    <row r="424" spans="1:18" x14ac:dyDescent="0.3">
      <c r="A424" s="1852" t="s">
        <v>2628</v>
      </c>
      <c r="B424" s="1462"/>
      <c r="C424" s="1456">
        <v>200</v>
      </c>
      <c r="D424" s="1456">
        <v>200</v>
      </c>
      <c r="E424" s="1462"/>
      <c r="O424" s="1541">
        <f t="shared" si="13"/>
        <v>0</v>
      </c>
      <c r="P424" s="1541">
        <f t="shared" si="13"/>
        <v>200</v>
      </c>
      <c r="Q424" s="1541">
        <f t="shared" si="13"/>
        <v>200</v>
      </c>
      <c r="R424" s="1541">
        <f t="shared" si="12"/>
        <v>0</v>
      </c>
    </row>
    <row r="425" spans="1:18" x14ac:dyDescent="0.3">
      <c r="A425" s="1852" t="s">
        <v>2629</v>
      </c>
      <c r="B425" s="1462"/>
      <c r="C425" s="1456">
        <v>286</v>
      </c>
      <c r="D425" s="1456">
        <v>286</v>
      </c>
      <c r="E425" s="1462"/>
      <c r="O425" s="1541">
        <f t="shared" si="13"/>
        <v>0</v>
      </c>
      <c r="P425" s="1541">
        <f t="shared" si="13"/>
        <v>286</v>
      </c>
      <c r="Q425" s="1541">
        <f t="shared" si="13"/>
        <v>286</v>
      </c>
      <c r="R425" s="1541">
        <f t="shared" si="12"/>
        <v>0</v>
      </c>
    </row>
    <row r="426" spans="1:18" x14ac:dyDescent="0.3">
      <c r="A426" s="1852" t="s">
        <v>2630</v>
      </c>
      <c r="B426" s="1462"/>
      <c r="C426" s="1456">
        <v>29830</v>
      </c>
      <c r="D426" s="1456">
        <v>29830</v>
      </c>
      <c r="E426" s="1462"/>
      <c r="O426" s="1541">
        <f t="shared" si="13"/>
        <v>0</v>
      </c>
      <c r="P426" s="1541">
        <f t="shared" si="13"/>
        <v>29830</v>
      </c>
      <c r="Q426" s="1541">
        <f t="shared" si="13"/>
        <v>29830</v>
      </c>
      <c r="R426" s="1541">
        <f t="shared" si="12"/>
        <v>0</v>
      </c>
    </row>
    <row r="427" spans="1:18" x14ac:dyDescent="0.3">
      <c r="A427" s="1852" t="s">
        <v>2631</v>
      </c>
      <c r="B427" s="1462"/>
      <c r="C427" s="1456">
        <v>409803.31</v>
      </c>
      <c r="D427" s="1456">
        <v>612611</v>
      </c>
      <c r="E427" s="1471">
        <v>-202807.69</v>
      </c>
      <c r="O427" s="1541">
        <f t="shared" si="13"/>
        <v>0</v>
      </c>
      <c r="P427" s="1541">
        <f t="shared" si="13"/>
        <v>409803.31</v>
      </c>
      <c r="Q427" s="1541">
        <f t="shared" si="13"/>
        <v>612611</v>
      </c>
      <c r="R427" s="1541">
        <f t="shared" si="12"/>
        <v>-202807.69</v>
      </c>
    </row>
    <row r="428" spans="1:18" x14ac:dyDescent="0.3">
      <c r="A428" s="1855" t="s">
        <v>2632</v>
      </c>
      <c r="B428" s="1896">
        <v>4661</v>
      </c>
      <c r="C428" s="1460"/>
      <c r="D428" s="1456">
        <v>4661</v>
      </c>
      <c r="E428" s="1462"/>
      <c r="O428" s="1541">
        <f t="shared" si="13"/>
        <v>4661</v>
      </c>
      <c r="P428" s="1541">
        <f t="shared" si="13"/>
        <v>0</v>
      </c>
      <c r="Q428" s="1541">
        <f t="shared" si="13"/>
        <v>4661</v>
      </c>
      <c r="R428" s="1541">
        <f t="shared" si="12"/>
        <v>0</v>
      </c>
    </row>
    <row r="429" spans="1:18" x14ac:dyDescent="0.3">
      <c r="A429" s="1855" t="s">
        <v>2633</v>
      </c>
      <c r="B429" s="1462"/>
      <c r="C429" s="1456">
        <v>33100</v>
      </c>
      <c r="D429" s="1456">
        <v>29300</v>
      </c>
      <c r="E429" s="1896">
        <v>3800</v>
      </c>
      <c r="O429" s="1541">
        <f t="shared" si="13"/>
        <v>0</v>
      </c>
      <c r="P429" s="1541">
        <f t="shared" si="13"/>
        <v>33100</v>
      </c>
      <c r="Q429" s="1541">
        <f t="shared" si="13"/>
        <v>29300</v>
      </c>
      <c r="R429" s="1541">
        <f t="shared" si="12"/>
        <v>3800</v>
      </c>
    </row>
    <row r="430" spans="1:18" x14ac:dyDescent="0.3">
      <c r="A430" s="1852" t="s">
        <v>2634</v>
      </c>
      <c r="B430" s="1462"/>
      <c r="C430" s="1456">
        <v>612</v>
      </c>
      <c r="D430" s="1456">
        <v>612</v>
      </c>
      <c r="E430" s="1462"/>
      <c r="O430" s="1541">
        <f t="shared" si="13"/>
        <v>0</v>
      </c>
      <c r="P430" s="1541">
        <f t="shared" si="13"/>
        <v>612</v>
      </c>
      <c r="Q430" s="1541">
        <f t="shared" si="13"/>
        <v>612</v>
      </c>
      <c r="R430" s="1541">
        <f t="shared" si="13"/>
        <v>0</v>
      </c>
    </row>
    <row r="431" spans="1:18" x14ac:dyDescent="0.3">
      <c r="A431" s="1852" t="s">
        <v>2635</v>
      </c>
      <c r="B431" s="1462"/>
      <c r="C431" s="1456">
        <v>10887</v>
      </c>
      <c r="D431" s="1456">
        <v>10887</v>
      </c>
      <c r="E431" s="1462"/>
      <c r="O431" s="1541">
        <f t="shared" ref="O431:R494" si="14">B431+I431</f>
        <v>0</v>
      </c>
      <c r="P431" s="1541">
        <f t="shared" si="14"/>
        <v>10887</v>
      </c>
      <c r="Q431" s="1541">
        <f t="shared" si="14"/>
        <v>10887</v>
      </c>
      <c r="R431" s="1541">
        <f t="shared" si="14"/>
        <v>0</v>
      </c>
    </row>
    <row r="432" spans="1:18" x14ac:dyDescent="0.3">
      <c r="A432" s="1852" t="s">
        <v>2636</v>
      </c>
      <c r="B432" s="1462"/>
      <c r="C432" s="1456">
        <v>140</v>
      </c>
      <c r="D432" s="1456">
        <v>140</v>
      </c>
      <c r="E432" s="1462"/>
      <c r="O432" s="1541">
        <f t="shared" si="14"/>
        <v>0</v>
      </c>
      <c r="P432" s="1541">
        <f t="shared" si="14"/>
        <v>140</v>
      </c>
      <c r="Q432" s="1541">
        <f t="shared" si="14"/>
        <v>140</v>
      </c>
      <c r="R432" s="1541">
        <f t="shared" si="14"/>
        <v>0</v>
      </c>
    </row>
    <row r="433" spans="1:18" x14ac:dyDescent="0.3">
      <c r="A433" s="1852" t="s">
        <v>2637</v>
      </c>
      <c r="B433" s="1462"/>
      <c r="C433" s="1456">
        <v>8648</v>
      </c>
      <c r="D433" s="1456">
        <v>6560</v>
      </c>
      <c r="E433" s="1896">
        <v>2088</v>
      </c>
      <c r="O433" s="1541">
        <f t="shared" si="14"/>
        <v>0</v>
      </c>
      <c r="P433" s="1541">
        <f t="shared" si="14"/>
        <v>8648</v>
      </c>
      <c r="Q433" s="1541">
        <f t="shared" si="14"/>
        <v>6560</v>
      </c>
      <c r="R433" s="1541">
        <f t="shared" si="14"/>
        <v>2088</v>
      </c>
    </row>
    <row r="434" spans="1:18" x14ac:dyDescent="0.3">
      <c r="A434" s="1852" t="s">
        <v>2638</v>
      </c>
      <c r="B434" s="1462"/>
      <c r="C434" s="1456">
        <v>2041</v>
      </c>
      <c r="D434" s="1456">
        <v>2041</v>
      </c>
      <c r="E434" s="1462"/>
      <c r="O434" s="1541">
        <f t="shared" si="14"/>
        <v>0</v>
      </c>
      <c r="P434" s="1541">
        <f t="shared" si="14"/>
        <v>2041</v>
      </c>
      <c r="Q434" s="1541">
        <f t="shared" si="14"/>
        <v>2041</v>
      </c>
      <c r="R434" s="1541">
        <f t="shared" si="14"/>
        <v>0</v>
      </c>
    </row>
    <row r="435" spans="1:18" x14ac:dyDescent="0.3">
      <c r="A435" s="1852" t="s">
        <v>2639</v>
      </c>
      <c r="B435" s="1462"/>
      <c r="C435" s="1456">
        <v>13288</v>
      </c>
      <c r="D435" s="1456">
        <v>13288</v>
      </c>
      <c r="E435" s="1462"/>
      <c r="O435" s="1541">
        <f t="shared" si="14"/>
        <v>0</v>
      </c>
      <c r="P435" s="1541">
        <f t="shared" si="14"/>
        <v>13288</v>
      </c>
      <c r="Q435" s="1541">
        <f t="shared" si="14"/>
        <v>13288</v>
      </c>
      <c r="R435" s="1541">
        <f t="shared" si="14"/>
        <v>0</v>
      </c>
    </row>
    <row r="436" spans="1:18" x14ac:dyDescent="0.3">
      <c r="A436" s="1852" t="s">
        <v>2640</v>
      </c>
      <c r="B436" s="1462"/>
      <c r="C436" s="1456">
        <v>700</v>
      </c>
      <c r="D436" s="1456">
        <v>700</v>
      </c>
      <c r="E436" s="1462"/>
      <c r="O436" s="1541">
        <f t="shared" si="14"/>
        <v>0</v>
      </c>
      <c r="P436" s="1541">
        <f t="shared" si="14"/>
        <v>700</v>
      </c>
      <c r="Q436" s="1541">
        <f t="shared" si="14"/>
        <v>700</v>
      </c>
      <c r="R436" s="1541">
        <f t="shared" si="14"/>
        <v>0</v>
      </c>
    </row>
    <row r="437" spans="1:18" x14ac:dyDescent="0.3">
      <c r="A437" s="1852" t="s">
        <v>2641</v>
      </c>
      <c r="B437" s="1462"/>
      <c r="C437" s="1456">
        <v>6650</v>
      </c>
      <c r="D437" s="1456">
        <v>4710</v>
      </c>
      <c r="E437" s="1896">
        <v>1940</v>
      </c>
      <c r="O437" s="1541">
        <f t="shared" si="14"/>
        <v>0</v>
      </c>
      <c r="P437" s="1541">
        <f t="shared" si="14"/>
        <v>6650</v>
      </c>
      <c r="Q437" s="1541">
        <f t="shared" si="14"/>
        <v>4710</v>
      </c>
      <c r="R437" s="1541">
        <f t="shared" si="14"/>
        <v>1940</v>
      </c>
    </row>
    <row r="438" spans="1:18" x14ac:dyDescent="0.3">
      <c r="A438" s="1852" t="s">
        <v>2642</v>
      </c>
      <c r="B438" s="1462"/>
      <c r="C438" s="1456">
        <v>11340</v>
      </c>
      <c r="D438" s="1456">
        <v>11339.98</v>
      </c>
      <c r="E438" s="1896">
        <v>0.02</v>
      </c>
      <c r="O438" s="1541">
        <f t="shared" si="14"/>
        <v>0</v>
      </c>
      <c r="P438" s="1541">
        <f t="shared" si="14"/>
        <v>11340</v>
      </c>
      <c r="Q438" s="1541">
        <f t="shared" si="14"/>
        <v>11339.98</v>
      </c>
      <c r="R438" s="1541">
        <f t="shared" si="14"/>
        <v>0.02</v>
      </c>
    </row>
    <row r="439" spans="1:18" x14ac:dyDescent="0.3">
      <c r="A439" s="1855" t="s">
        <v>2643</v>
      </c>
      <c r="B439" s="1462"/>
      <c r="C439" s="1456">
        <v>590</v>
      </c>
      <c r="D439" s="1456">
        <v>590</v>
      </c>
      <c r="E439" s="1462"/>
      <c r="O439" s="1541">
        <f t="shared" si="14"/>
        <v>0</v>
      </c>
      <c r="P439" s="1541">
        <f t="shared" si="14"/>
        <v>590</v>
      </c>
      <c r="Q439" s="1541">
        <f t="shared" si="14"/>
        <v>590</v>
      </c>
      <c r="R439" s="1541">
        <f t="shared" si="14"/>
        <v>0</v>
      </c>
    </row>
    <row r="440" spans="1:18" x14ac:dyDescent="0.3">
      <c r="A440" s="1855" t="s">
        <v>2644</v>
      </c>
      <c r="B440" s="1462"/>
      <c r="C440" s="1456">
        <v>16730</v>
      </c>
      <c r="D440" s="1456">
        <v>16730</v>
      </c>
      <c r="E440" s="1462"/>
      <c r="O440" s="1541">
        <f t="shared" si="14"/>
        <v>0</v>
      </c>
      <c r="P440" s="1541">
        <f t="shared" si="14"/>
        <v>16730</v>
      </c>
      <c r="Q440" s="1541">
        <f t="shared" si="14"/>
        <v>16730</v>
      </c>
      <c r="R440" s="1541">
        <f t="shared" si="14"/>
        <v>0</v>
      </c>
    </row>
    <row r="441" spans="1:18" x14ac:dyDescent="0.3">
      <c r="A441" s="1855" t="s">
        <v>2645</v>
      </c>
      <c r="B441" s="1462"/>
      <c r="C441" s="1456">
        <v>3050</v>
      </c>
      <c r="D441" s="1456">
        <v>3050</v>
      </c>
      <c r="E441" s="1462"/>
      <c r="O441" s="1541">
        <f t="shared" si="14"/>
        <v>0</v>
      </c>
      <c r="P441" s="1541">
        <f t="shared" si="14"/>
        <v>3050</v>
      </c>
      <c r="Q441" s="1541">
        <f t="shared" si="14"/>
        <v>3050</v>
      </c>
      <c r="R441" s="1541">
        <f t="shared" si="14"/>
        <v>0</v>
      </c>
    </row>
    <row r="442" spans="1:18" x14ac:dyDescent="0.3">
      <c r="A442" s="1852" t="s">
        <v>2646</v>
      </c>
      <c r="B442" s="1462"/>
      <c r="C442" s="1456">
        <v>400</v>
      </c>
      <c r="D442" s="1456">
        <v>400</v>
      </c>
      <c r="E442" s="1462"/>
      <c r="O442" s="1541">
        <f t="shared" si="14"/>
        <v>0</v>
      </c>
      <c r="P442" s="1541">
        <f t="shared" si="14"/>
        <v>400</v>
      </c>
      <c r="Q442" s="1541">
        <f t="shared" si="14"/>
        <v>400</v>
      </c>
      <c r="R442" s="1541">
        <f t="shared" si="14"/>
        <v>0</v>
      </c>
    </row>
    <row r="443" spans="1:18" x14ac:dyDescent="0.3">
      <c r="A443" s="1852" t="s">
        <v>2647</v>
      </c>
      <c r="B443" s="1462"/>
      <c r="C443" s="1456">
        <v>2300</v>
      </c>
      <c r="D443" s="1456">
        <v>2300</v>
      </c>
      <c r="E443" s="1462"/>
      <c r="O443" s="1541">
        <f t="shared" si="14"/>
        <v>0</v>
      </c>
      <c r="P443" s="1541">
        <f t="shared" si="14"/>
        <v>2300</v>
      </c>
      <c r="Q443" s="1541">
        <f t="shared" si="14"/>
        <v>2300</v>
      </c>
      <c r="R443" s="1541">
        <f t="shared" si="14"/>
        <v>0</v>
      </c>
    </row>
    <row r="444" spans="1:18" x14ac:dyDescent="0.3">
      <c r="A444" s="1852" t="s">
        <v>2648</v>
      </c>
      <c r="B444" s="1462"/>
      <c r="C444" s="1456">
        <v>803</v>
      </c>
      <c r="D444" s="1456">
        <v>803</v>
      </c>
      <c r="E444" s="1462"/>
      <c r="O444" s="1541">
        <f t="shared" si="14"/>
        <v>0</v>
      </c>
      <c r="P444" s="1541">
        <f t="shared" si="14"/>
        <v>803</v>
      </c>
      <c r="Q444" s="1541">
        <f t="shared" si="14"/>
        <v>803</v>
      </c>
      <c r="R444" s="1541">
        <f t="shared" si="14"/>
        <v>0</v>
      </c>
    </row>
    <row r="445" spans="1:18" x14ac:dyDescent="0.3">
      <c r="A445" s="1852" t="s">
        <v>2649</v>
      </c>
      <c r="B445" s="1462"/>
      <c r="C445" s="1456">
        <v>4829</v>
      </c>
      <c r="D445" s="1456">
        <v>4829</v>
      </c>
      <c r="E445" s="1462"/>
      <c r="O445" s="1541">
        <f t="shared" si="14"/>
        <v>0</v>
      </c>
      <c r="P445" s="1541">
        <f t="shared" si="14"/>
        <v>4829</v>
      </c>
      <c r="Q445" s="1541">
        <f t="shared" si="14"/>
        <v>4829</v>
      </c>
      <c r="R445" s="1541">
        <f t="shared" si="14"/>
        <v>0</v>
      </c>
    </row>
    <row r="446" spans="1:18" x14ac:dyDescent="0.3">
      <c r="A446" s="1852" t="s">
        <v>2651</v>
      </c>
      <c r="B446" s="1462"/>
      <c r="C446" s="1456">
        <v>6140</v>
      </c>
      <c r="D446" s="1456">
        <v>5000</v>
      </c>
      <c r="E446" s="1896">
        <v>1140</v>
      </c>
      <c r="O446" s="1541">
        <f t="shared" si="14"/>
        <v>0</v>
      </c>
      <c r="P446" s="1541">
        <f t="shared" si="14"/>
        <v>6140</v>
      </c>
      <c r="Q446" s="1541">
        <f t="shared" si="14"/>
        <v>5000</v>
      </c>
      <c r="R446" s="1541">
        <f t="shared" si="14"/>
        <v>1140</v>
      </c>
    </row>
    <row r="447" spans="1:18" x14ac:dyDescent="0.3">
      <c r="A447" s="1852" t="s">
        <v>2652</v>
      </c>
      <c r="B447" s="1462"/>
      <c r="C447" s="1456">
        <v>830</v>
      </c>
      <c r="D447" s="1456">
        <v>830</v>
      </c>
      <c r="E447" s="1462"/>
      <c r="O447" s="1541">
        <f t="shared" si="14"/>
        <v>0</v>
      </c>
      <c r="P447" s="1541">
        <f t="shared" si="14"/>
        <v>830</v>
      </c>
      <c r="Q447" s="1541">
        <f t="shared" si="14"/>
        <v>830</v>
      </c>
      <c r="R447" s="1541">
        <f t="shared" si="14"/>
        <v>0</v>
      </c>
    </row>
    <row r="448" spans="1:18" x14ac:dyDescent="0.3">
      <c r="A448" s="1852" t="s">
        <v>2653</v>
      </c>
      <c r="B448" s="1462"/>
      <c r="C448" s="1456">
        <v>1530</v>
      </c>
      <c r="D448" s="1456">
        <v>1530</v>
      </c>
      <c r="E448" s="1462"/>
      <c r="O448" s="1541">
        <f t="shared" si="14"/>
        <v>0</v>
      </c>
      <c r="P448" s="1541">
        <f t="shared" si="14"/>
        <v>1530</v>
      </c>
      <c r="Q448" s="1541">
        <f t="shared" si="14"/>
        <v>1530</v>
      </c>
      <c r="R448" s="1541">
        <f t="shared" si="14"/>
        <v>0</v>
      </c>
    </row>
    <row r="449" spans="1:18" x14ac:dyDescent="0.3">
      <c r="A449" s="1852" t="s">
        <v>2654</v>
      </c>
      <c r="B449" s="1462"/>
      <c r="C449" s="1456">
        <v>13096.01</v>
      </c>
      <c r="D449" s="1456">
        <v>13096</v>
      </c>
      <c r="E449" s="1896">
        <v>0.01</v>
      </c>
      <c r="O449" s="1541">
        <f t="shared" si="14"/>
        <v>0</v>
      </c>
      <c r="P449" s="1541">
        <f t="shared" si="14"/>
        <v>13096.01</v>
      </c>
      <c r="Q449" s="1541">
        <f t="shared" si="14"/>
        <v>13096</v>
      </c>
      <c r="R449" s="1541">
        <f t="shared" si="14"/>
        <v>0.01</v>
      </c>
    </row>
    <row r="450" spans="1:18" x14ac:dyDescent="0.3">
      <c r="A450" s="1461" t="s">
        <v>2655</v>
      </c>
      <c r="B450" s="1462"/>
      <c r="C450" s="1456">
        <v>600</v>
      </c>
      <c r="D450" s="1456">
        <v>600</v>
      </c>
      <c r="E450" s="1462"/>
      <c r="O450" s="1541">
        <f t="shared" si="14"/>
        <v>0</v>
      </c>
      <c r="P450" s="1541">
        <f t="shared" si="14"/>
        <v>600</v>
      </c>
      <c r="Q450" s="1541">
        <f t="shared" si="14"/>
        <v>600</v>
      </c>
      <c r="R450" s="1541">
        <f t="shared" si="14"/>
        <v>0</v>
      </c>
    </row>
    <row r="451" spans="1:18" x14ac:dyDescent="0.3">
      <c r="A451" s="1852" t="s">
        <v>2656</v>
      </c>
      <c r="B451" s="1462"/>
      <c r="C451" s="1456">
        <v>346</v>
      </c>
      <c r="D451" s="1456">
        <v>346</v>
      </c>
      <c r="E451" s="1462"/>
      <c r="O451" s="1541">
        <f t="shared" si="14"/>
        <v>0</v>
      </c>
      <c r="P451" s="1541">
        <f t="shared" si="14"/>
        <v>346</v>
      </c>
      <c r="Q451" s="1541">
        <f t="shared" si="14"/>
        <v>346</v>
      </c>
      <c r="R451" s="1541">
        <f t="shared" si="14"/>
        <v>0</v>
      </c>
    </row>
    <row r="452" spans="1:18" x14ac:dyDescent="0.3">
      <c r="A452" s="1852" t="s">
        <v>2657</v>
      </c>
      <c r="B452" s="1462"/>
      <c r="C452" s="1456">
        <v>3150</v>
      </c>
      <c r="D452" s="1456">
        <v>3150</v>
      </c>
      <c r="E452" s="1462"/>
      <c r="O452" s="1541">
        <f t="shared" si="14"/>
        <v>0</v>
      </c>
      <c r="P452" s="1541">
        <f t="shared" si="14"/>
        <v>3150</v>
      </c>
      <c r="Q452" s="1541">
        <f t="shared" si="14"/>
        <v>3150</v>
      </c>
      <c r="R452" s="1541">
        <f t="shared" si="14"/>
        <v>0</v>
      </c>
    </row>
    <row r="453" spans="1:18" x14ac:dyDescent="0.3">
      <c r="A453" s="1852" t="s">
        <v>2658</v>
      </c>
      <c r="B453" s="1462"/>
      <c r="C453" s="1456">
        <v>330</v>
      </c>
      <c r="D453" s="1456">
        <v>330</v>
      </c>
      <c r="E453" s="1462"/>
      <c r="O453" s="1541">
        <f t="shared" si="14"/>
        <v>0</v>
      </c>
      <c r="P453" s="1541">
        <f t="shared" si="14"/>
        <v>330</v>
      </c>
      <c r="Q453" s="1541">
        <f t="shared" si="14"/>
        <v>330</v>
      </c>
      <c r="R453" s="1541">
        <f t="shared" si="14"/>
        <v>0</v>
      </c>
    </row>
    <row r="454" spans="1:18" x14ac:dyDescent="0.3">
      <c r="A454" s="1852" t="s">
        <v>2659</v>
      </c>
      <c r="B454" s="1462"/>
      <c r="C454" s="1456">
        <v>16722</v>
      </c>
      <c r="D454" s="1456">
        <v>16722</v>
      </c>
      <c r="E454" s="1462"/>
      <c r="O454" s="1541">
        <f t="shared" si="14"/>
        <v>0</v>
      </c>
      <c r="P454" s="1541">
        <f t="shared" si="14"/>
        <v>16722</v>
      </c>
      <c r="Q454" s="1541">
        <f t="shared" si="14"/>
        <v>16722</v>
      </c>
      <c r="R454" s="1541">
        <f t="shared" si="14"/>
        <v>0</v>
      </c>
    </row>
    <row r="455" spans="1:18" x14ac:dyDescent="0.3">
      <c r="A455" s="1855" t="s">
        <v>2660</v>
      </c>
      <c r="B455" s="1462"/>
      <c r="C455" s="1456">
        <v>4039</v>
      </c>
      <c r="D455" s="1456">
        <v>4039</v>
      </c>
      <c r="E455" s="1462"/>
      <c r="O455" s="1541">
        <f t="shared" si="14"/>
        <v>0</v>
      </c>
      <c r="P455" s="1541">
        <f t="shared" si="14"/>
        <v>4039</v>
      </c>
      <c r="Q455" s="1541">
        <f t="shared" si="14"/>
        <v>4039</v>
      </c>
      <c r="R455" s="1541">
        <f t="shared" si="14"/>
        <v>0</v>
      </c>
    </row>
    <row r="456" spans="1:18" x14ac:dyDescent="0.3">
      <c r="A456" s="1852" t="s">
        <v>2661</v>
      </c>
      <c r="B456" s="1462"/>
      <c r="C456" s="1456">
        <v>347923.06</v>
      </c>
      <c r="D456" s="1456">
        <v>347920</v>
      </c>
      <c r="E456" s="1896">
        <v>3.06</v>
      </c>
      <c r="O456" s="1541">
        <f t="shared" si="14"/>
        <v>0</v>
      </c>
      <c r="P456" s="1541">
        <f t="shared" si="14"/>
        <v>347923.06</v>
      </c>
      <c r="Q456" s="1541">
        <f t="shared" si="14"/>
        <v>347920</v>
      </c>
      <c r="R456" s="1541">
        <f t="shared" si="14"/>
        <v>3.06</v>
      </c>
    </row>
    <row r="457" spans="1:18" x14ac:dyDescent="0.3">
      <c r="A457" s="1852" t="s">
        <v>2662</v>
      </c>
      <c r="B457" s="1462"/>
      <c r="C457" s="1456">
        <v>6405</v>
      </c>
      <c r="D457" s="1456">
        <v>6405</v>
      </c>
      <c r="E457" s="1462"/>
      <c r="O457" s="1541">
        <f t="shared" si="14"/>
        <v>0</v>
      </c>
      <c r="P457" s="1541">
        <f t="shared" si="14"/>
        <v>6405</v>
      </c>
      <c r="Q457" s="1541">
        <f t="shared" si="14"/>
        <v>6405</v>
      </c>
      <c r="R457" s="1541">
        <f t="shared" si="14"/>
        <v>0</v>
      </c>
    </row>
    <row r="458" spans="1:18" x14ac:dyDescent="0.3">
      <c r="A458" s="1852" t="s">
        <v>2663</v>
      </c>
      <c r="B458" s="1462"/>
      <c r="C458" s="1456">
        <v>1630</v>
      </c>
      <c r="D458" s="1456">
        <v>1630</v>
      </c>
      <c r="E458" s="1462"/>
      <c r="O458" s="1541">
        <f t="shared" si="14"/>
        <v>0</v>
      </c>
      <c r="P458" s="1541">
        <f t="shared" si="14"/>
        <v>1630</v>
      </c>
      <c r="Q458" s="1541">
        <f t="shared" si="14"/>
        <v>1630</v>
      </c>
      <c r="R458" s="1541">
        <f t="shared" si="14"/>
        <v>0</v>
      </c>
    </row>
    <row r="459" spans="1:18" x14ac:dyDescent="0.3">
      <c r="A459" s="1852" t="s">
        <v>2664</v>
      </c>
      <c r="B459" s="1462"/>
      <c r="C459" s="1456">
        <v>12099.02</v>
      </c>
      <c r="D459" s="1456">
        <v>11199</v>
      </c>
      <c r="E459" s="1896">
        <v>900.02</v>
      </c>
      <c r="O459" s="1541">
        <f t="shared" si="14"/>
        <v>0</v>
      </c>
      <c r="P459" s="1541">
        <f t="shared" si="14"/>
        <v>12099.02</v>
      </c>
      <c r="Q459" s="1541">
        <f t="shared" si="14"/>
        <v>11199</v>
      </c>
      <c r="R459" s="1541">
        <f t="shared" si="14"/>
        <v>900.02</v>
      </c>
    </row>
    <row r="460" spans="1:18" x14ac:dyDescent="0.3">
      <c r="A460" s="1855" t="s">
        <v>2665</v>
      </c>
      <c r="B460" s="1462"/>
      <c r="C460" s="1456">
        <v>325161.02</v>
      </c>
      <c r="D460" s="1456">
        <v>325160</v>
      </c>
      <c r="E460" s="1896">
        <v>1.02</v>
      </c>
      <c r="O460" s="1541">
        <f t="shared" si="14"/>
        <v>0</v>
      </c>
      <c r="P460" s="1541">
        <f t="shared" si="14"/>
        <v>325161.02</v>
      </c>
      <c r="Q460" s="1541">
        <f t="shared" si="14"/>
        <v>325160</v>
      </c>
      <c r="R460" s="1541">
        <f t="shared" si="14"/>
        <v>1.02</v>
      </c>
    </row>
    <row r="461" spans="1:18" x14ac:dyDescent="0.3">
      <c r="A461" s="1852" t="s">
        <v>2666</v>
      </c>
      <c r="B461" s="1462"/>
      <c r="C461" s="1456">
        <v>61025</v>
      </c>
      <c r="D461" s="1456">
        <v>61025</v>
      </c>
      <c r="E461" s="1462"/>
      <c r="O461" s="1541">
        <f t="shared" si="14"/>
        <v>0</v>
      </c>
      <c r="P461" s="1541">
        <f t="shared" si="14"/>
        <v>61025</v>
      </c>
      <c r="Q461" s="1541">
        <f t="shared" si="14"/>
        <v>61025</v>
      </c>
      <c r="R461" s="1541">
        <f t="shared" si="14"/>
        <v>0</v>
      </c>
    </row>
    <row r="462" spans="1:18" x14ac:dyDescent="0.3">
      <c r="A462" s="1852" t="s">
        <v>2667</v>
      </c>
      <c r="B462" s="1462"/>
      <c r="C462" s="1456">
        <v>6696.01</v>
      </c>
      <c r="D462" s="1456">
        <v>6696</v>
      </c>
      <c r="E462" s="1896">
        <v>0.01</v>
      </c>
      <c r="O462" s="1541">
        <f t="shared" si="14"/>
        <v>0</v>
      </c>
      <c r="P462" s="1541">
        <f t="shared" si="14"/>
        <v>6696.01</v>
      </c>
      <c r="Q462" s="1541">
        <f t="shared" si="14"/>
        <v>6696</v>
      </c>
      <c r="R462" s="1541">
        <f t="shared" si="14"/>
        <v>0.01</v>
      </c>
    </row>
    <row r="463" spans="1:18" x14ac:dyDescent="0.3">
      <c r="A463" s="1852" t="s">
        <v>2668</v>
      </c>
      <c r="B463" s="1462"/>
      <c r="C463" s="1456">
        <v>2028</v>
      </c>
      <c r="D463" s="1456">
        <v>2028</v>
      </c>
      <c r="E463" s="1462"/>
      <c r="O463" s="1541">
        <f t="shared" si="14"/>
        <v>0</v>
      </c>
      <c r="P463" s="1541">
        <f t="shared" si="14"/>
        <v>2028</v>
      </c>
      <c r="Q463" s="1541">
        <f t="shared" si="14"/>
        <v>2028</v>
      </c>
      <c r="R463" s="1541">
        <f t="shared" si="14"/>
        <v>0</v>
      </c>
    </row>
    <row r="464" spans="1:18" x14ac:dyDescent="0.3">
      <c r="A464" s="1855" t="s">
        <v>2669</v>
      </c>
      <c r="B464" s="1462"/>
      <c r="C464" s="1456">
        <v>4384.01</v>
      </c>
      <c r="D464" s="1456">
        <v>4383.99</v>
      </c>
      <c r="E464" s="1896">
        <v>0.02</v>
      </c>
      <c r="O464" s="1541">
        <f t="shared" si="14"/>
        <v>0</v>
      </c>
      <c r="P464" s="1541">
        <f t="shared" si="14"/>
        <v>4384.01</v>
      </c>
      <c r="Q464" s="1541">
        <f t="shared" si="14"/>
        <v>4383.99</v>
      </c>
      <c r="R464" s="1541">
        <f t="shared" si="14"/>
        <v>0.02</v>
      </c>
    </row>
    <row r="465" spans="1:18" x14ac:dyDescent="0.3">
      <c r="A465" s="1855" t="s">
        <v>2670</v>
      </c>
      <c r="B465" s="1462"/>
      <c r="C465" s="1456">
        <v>6088</v>
      </c>
      <c r="D465" s="1456">
        <v>6118</v>
      </c>
      <c r="E465" s="1471">
        <v>-30</v>
      </c>
      <c r="O465" s="1541">
        <f t="shared" si="14"/>
        <v>0</v>
      </c>
      <c r="P465" s="1541">
        <f t="shared" si="14"/>
        <v>6088</v>
      </c>
      <c r="Q465" s="1541">
        <f t="shared" si="14"/>
        <v>6118</v>
      </c>
      <c r="R465" s="1541">
        <f t="shared" si="14"/>
        <v>-30</v>
      </c>
    </row>
    <row r="466" spans="1:18" x14ac:dyDescent="0.3">
      <c r="A466" s="1855" t="s">
        <v>2671</v>
      </c>
      <c r="B466" s="1462"/>
      <c r="C466" s="1456">
        <v>29437</v>
      </c>
      <c r="D466" s="1456">
        <v>29437</v>
      </c>
      <c r="E466" s="1462"/>
      <c r="O466" s="1541">
        <f t="shared" si="14"/>
        <v>0</v>
      </c>
      <c r="P466" s="1541">
        <f t="shared" si="14"/>
        <v>29437</v>
      </c>
      <c r="Q466" s="1541">
        <f t="shared" si="14"/>
        <v>29437</v>
      </c>
      <c r="R466" s="1541">
        <f t="shared" si="14"/>
        <v>0</v>
      </c>
    </row>
    <row r="467" spans="1:18" x14ac:dyDescent="0.3">
      <c r="A467" s="1855" t="s">
        <v>2672</v>
      </c>
      <c r="B467" s="1462"/>
      <c r="C467" s="1456">
        <v>504545</v>
      </c>
      <c r="D467" s="1456">
        <v>504545</v>
      </c>
      <c r="E467" s="1462"/>
      <c r="O467" s="1541">
        <f t="shared" si="14"/>
        <v>0</v>
      </c>
      <c r="P467" s="1541">
        <f t="shared" si="14"/>
        <v>504545</v>
      </c>
      <c r="Q467" s="1541">
        <f t="shared" si="14"/>
        <v>504545</v>
      </c>
      <c r="R467" s="1541">
        <f t="shared" si="14"/>
        <v>0</v>
      </c>
    </row>
    <row r="468" spans="1:18" x14ac:dyDescent="0.3">
      <c r="A468" s="1855" t="s">
        <v>2673</v>
      </c>
      <c r="B468" s="1462"/>
      <c r="C468" s="1456">
        <v>2100</v>
      </c>
      <c r="D468" s="1456">
        <v>2100</v>
      </c>
      <c r="E468" s="1462"/>
      <c r="O468" s="1541">
        <f t="shared" si="14"/>
        <v>0</v>
      </c>
      <c r="P468" s="1541">
        <f t="shared" si="14"/>
        <v>2100</v>
      </c>
      <c r="Q468" s="1541">
        <f t="shared" si="14"/>
        <v>2100</v>
      </c>
      <c r="R468" s="1541">
        <f t="shared" si="14"/>
        <v>0</v>
      </c>
    </row>
    <row r="469" spans="1:18" x14ac:dyDescent="0.3">
      <c r="A469" s="1852" t="s">
        <v>2674</v>
      </c>
      <c r="B469" s="1462"/>
      <c r="C469" s="1456">
        <v>2366</v>
      </c>
      <c r="D469" s="1456">
        <v>2366</v>
      </c>
      <c r="E469" s="1462"/>
      <c r="O469" s="1541">
        <f t="shared" si="14"/>
        <v>0</v>
      </c>
      <c r="P469" s="1541">
        <f t="shared" si="14"/>
        <v>2366</v>
      </c>
      <c r="Q469" s="1541">
        <f t="shared" si="14"/>
        <v>2366</v>
      </c>
      <c r="R469" s="1541">
        <f t="shared" si="14"/>
        <v>0</v>
      </c>
    </row>
    <row r="470" spans="1:18" x14ac:dyDescent="0.3">
      <c r="A470" s="1852" t="s">
        <v>2675</v>
      </c>
      <c r="B470" s="1462"/>
      <c r="C470" s="1456">
        <v>540</v>
      </c>
      <c r="D470" s="1456">
        <v>540</v>
      </c>
      <c r="E470" s="1462"/>
      <c r="O470" s="1541">
        <f t="shared" si="14"/>
        <v>0</v>
      </c>
      <c r="P470" s="1541">
        <f t="shared" si="14"/>
        <v>540</v>
      </c>
      <c r="Q470" s="1541">
        <f t="shared" si="14"/>
        <v>540</v>
      </c>
      <c r="R470" s="1541">
        <f t="shared" si="14"/>
        <v>0</v>
      </c>
    </row>
    <row r="471" spans="1:18" x14ac:dyDescent="0.3">
      <c r="A471" s="1852" t="s">
        <v>2676</v>
      </c>
      <c r="B471" s="1462"/>
      <c r="C471" s="1456">
        <v>1900</v>
      </c>
      <c r="D471" s="1456">
        <v>1900</v>
      </c>
      <c r="E471" s="1462"/>
      <c r="O471" s="1541">
        <f t="shared" si="14"/>
        <v>0</v>
      </c>
      <c r="P471" s="1541">
        <f t="shared" si="14"/>
        <v>1900</v>
      </c>
      <c r="Q471" s="1541">
        <f t="shared" si="14"/>
        <v>1900</v>
      </c>
      <c r="R471" s="1541">
        <f t="shared" si="14"/>
        <v>0</v>
      </c>
    </row>
    <row r="472" spans="1:18" x14ac:dyDescent="0.3">
      <c r="A472" s="1852" t="s">
        <v>2677</v>
      </c>
      <c r="B472" s="1462"/>
      <c r="C472" s="1456">
        <v>357</v>
      </c>
      <c r="D472" s="1456">
        <v>357</v>
      </c>
      <c r="E472" s="1462"/>
      <c r="O472" s="1541">
        <f t="shared" si="14"/>
        <v>0</v>
      </c>
      <c r="P472" s="1541">
        <f t="shared" si="14"/>
        <v>357</v>
      </c>
      <c r="Q472" s="1541">
        <f t="shared" si="14"/>
        <v>357</v>
      </c>
      <c r="R472" s="1541">
        <f t="shared" si="14"/>
        <v>0</v>
      </c>
    </row>
    <row r="473" spans="1:18" x14ac:dyDescent="0.3">
      <c r="A473" s="1852" t="s">
        <v>2678</v>
      </c>
      <c r="B473" s="1462"/>
      <c r="C473" s="1456">
        <v>200</v>
      </c>
      <c r="D473" s="1456">
        <v>200</v>
      </c>
      <c r="E473" s="1462"/>
      <c r="O473" s="1541">
        <f t="shared" si="14"/>
        <v>0</v>
      </c>
      <c r="P473" s="1541">
        <f t="shared" si="14"/>
        <v>200</v>
      </c>
      <c r="Q473" s="1541">
        <f t="shared" si="14"/>
        <v>200</v>
      </c>
      <c r="R473" s="1541">
        <f t="shared" si="14"/>
        <v>0</v>
      </c>
    </row>
    <row r="474" spans="1:18" x14ac:dyDescent="0.3">
      <c r="A474" s="1852" t="s">
        <v>2679</v>
      </c>
      <c r="B474" s="1462"/>
      <c r="C474" s="1456">
        <v>1826</v>
      </c>
      <c r="D474" s="1456">
        <v>1826</v>
      </c>
      <c r="E474" s="1462"/>
      <c r="O474" s="1541">
        <f t="shared" si="14"/>
        <v>0</v>
      </c>
      <c r="P474" s="1541">
        <f t="shared" si="14"/>
        <v>1826</v>
      </c>
      <c r="Q474" s="1541">
        <f t="shared" si="14"/>
        <v>1826</v>
      </c>
      <c r="R474" s="1541">
        <f t="shared" si="14"/>
        <v>0</v>
      </c>
    </row>
    <row r="475" spans="1:18" x14ac:dyDescent="0.3">
      <c r="A475" s="1852" t="s">
        <v>2680</v>
      </c>
      <c r="B475" s="1462"/>
      <c r="C475" s="1456">
        <v>7494</v>
      </c>
      <c r="D475" s="1456">
        <v>7494</v>
      </c>
      <c r="E475" s="1462"/>
      <c r="O475" s="1541">
        <f t="shared" si="14"/>
        <v>0</v>
      </c>
      <c r="P475" s="1541">
        <f t="shared" si="14"/>
        <v>7494</v>
      </c>
      <c r="Q475" s="1541">
        <f t="shared" si="14"/>
        <v>7494</v>
      </c>
      <c r="R475" s="1541">
        <f t="shared" si="14"/>
        <v>0</v>
      </c>
    </row>
    <row r="476" spans="1:18" x14ac:dyDescent="0.3">
      <c r="A476" s="1852" t="s">
        <v>2681</v>
      </c>
      <c r="B476" s="1462"/>
      <c r="C476" s="1456">
        <v>320</v>
      </c>
      <c r="D476" s="1456">
        <v>300</v>
      </c>
      <c r="E476" s="1896">
        <v>20</v>
      </c>
      <c r="O476" s="1541">
        <f t="shared" si="14"/>
        <v>0</v>
      </c>
      <c r="P476" s="1541">
        <f t="shared" si="14"/>
        <v>320</v>
      </c>
      <c r="Q476" s="1541">
        <f t="shared" si="14"/>
        <v>300</v>
      </c>
      <c r="R476" s="1541">
        <f t="shared" si="14"/>
        <v>20</v>
      </c>
    </row>
    <row r="477" spans="1:18" x14ac:dyDescent="0.3">
      <c r="A477" s="1852" t="s">
        <v>2682</v>
      </c>
      <c r="B477" s="1462"/>
      <c r="C477" s="1456">
        <v>42156.04</v>
      </c>
      <c r="D477" s="1456">
        <v>42156</v>
      </c>
      <c r="E477" s="1896">
        <v>0.04</v>
      </c>
      <c r="O477" s="1541">
        <f t="shared" si="14"/>
        <v>0</v>
      </c>
      <c r="P477" s="1541">
        <f t="shared" si="14"/>
        <v>42156.04</v>
      </c>
      <c r="Q477" s="1541">
        <f t="shared" si="14"/>
        <v>42156</v>
      </c>
      <c r="R477" s="1541">
        <f t="shared" si="14"/>
        <v>0.04</v>
      </c>
    </row>
    <row r="478" spans="1:18" x14ac:dyDescent="0.3">
      <c r="A478" s="1852" t="s">
        <v>2683</v>
      </c>
      <c r="B478" s="1462"/>
      <c r="C478" s="1456">
        <v>306</v>
      </c>
      <c r="D478" s="1456">
        <v>306</v>
      </c>
      <c r="E478" s="1462"/>
      <c r="O478" s="1541">
        <f t="shared" si="14"/>
        <v>0</v>
      </c>
      <c r="P478" s="1541">
        <f t="shared" si="14"/>
        <v>306</v>
      </c>
      <c r="Q478" s="1541">
        <f t="shared" si="14"/>
        <v>306</v>
      </c>
      <c r="R478" s="1541">
        <f t="shared" si="14"/>
        <v>0</v>
      </c>
    </row>
    <row r="479" spans="1:18" x14ac:dyDescent="0.3">
      <c r="A479" s="1852" t="s">
        <v>2684</v>
      </c>
      <c r="B479" s="1462"/>
      <c r="C479" s="1456">
        <v>9232</v>
      </c>
      <c r="D479" s="1456">
        <v>9232</v>
      </c>
      <c r="E479" s="1462"/>
      <c r="O479" s="1541">
        <f t="shared" si="14"/>
        <v>0</v>
      </c>
      <c r="P479" s="1541">
        <f t="shared" si="14"/>
        <v>9232</v>
      </c>
      <c r="Q479" s="1541">
        <f t="shared" si="14"/>
        <v>9232</v>
      </c>
      <c r="R479" s="1541">
        <f t="shared" si="14"/>
        <v>0</v>
      </c>
    </row>
    <row r="480" spans="1:18" x14ac:dyDescent="0.3">
      <c r="A480" s="1855" t="s">
        <v>2685</v>
      </c>
      <c r="B480" s="1462"/>
      <c r="C480" s="1456">
        <v>21135</v>
      </c>
      <c r="D480" s="1456">
        <v>21135</v>
      </c>
      <c r="E480" s="1462"/>
      <c r="O480" s="1541">
        <f t="shared" si="14"/>
        <v>0</v>
      </c>
      <c r="P480" s="1541">
        <f t="shared" si="14"/>
        <v>21135</v>
      </c>
      <c r="Q480" s="1541">
        <f t="shared" si="14"/>
        <v>21135</v>
      </c>
      <c r="R480" s="1541">
        <f t="shared" si="14"/>
        <v>0</v>
      </c>
    </row>
    <row r="481" spans="1:18" x14ac:dyDescent="0.3">
      <c r="A481" s="1852" t="s">
        <v>2686</v>
      </c>
      <c r="B481" s="1462"/>
      <c r="C481" s="1456">
        <v>3646</v>
      </c>
      <c r="D481" s="1456">
        <v>3646</v>
      </c>
      <c r="E481" s="1462"/>
      <c r="O481" s="1541">
        <f t="shared" si="14"/>
        <v>0</v>
      </c>
      <c r="P481" s="1541">
        <f t="shared" si="14"/>
        <v>3646</v>
      </c>
      <c r="Q481" s="1541">
        <f t="shared" si="14"/>
        <v>3646</v>
      </c>
      <c r="R481" s="1541">
        <f t="shared" si="14"/>
        <v>0</v>
      </c>
    </row>
    <row r="482" spans="1:18" x14ac:dyDescent="0.3">
      <c r="A482" s="1852" t="s">
        <v>2687</v>
      </c>
      <c r="B482" s="1462"/>
      <c r="C482" s="1456">
        <v>420</v>
      </c>
      <c r="D482" s="1456">
        <v>420</v>
      </c>
      <c r="E482" s="1462"/>
      <c r="O482" s="1541">
        <f t="shared" si="14"/>
        <v>0</v>
      </c>
      <c r="P482" s="1541">
        <f t="shared" si="14"/>
        <v>420</v>
      </c>
      <c r="Q482" s="1541">
        <f t="shared" si="14"/>
        <v>420</v>
      </c>
      <c r="R482" s="1541">
        <f t="shared" si="14"/>
        <v>0</v>
      </c>
    </row>
    <row r="483" spans="1:18" x14ac:dyDescent="0.3">
      <c r="A483" s="1852" t="s">
        <v>2688</v>
      </c>
      <c r="B483" s="1462"/>
      <c r="C483" s="1456">
        <v>20140</v>
      </c>
      <c r="D483" s="1456">
        <v>20140</v>
      </c>
      <c r="E483" s="1462"/>
      <c r="O483" s="1541">
        <f t="shared" si="14"/>
        <v>0</v>
      </c>
      <c r="P483" s="1541">
        <f t="shared" si="14"/>
        <v>20140</v>
      </c>
      <c r="Q483" s="1541">
        <f t="shared" si="14"/>
        <v>20140</v>
      </c>
      <c r="R483" s="1541">
        <f t="shared" si="14"/>
        <v>0</v>
      </c>
    </row>
    <row r="484" spans="1:18" x14ac:dyDescent="0.3">
      <c r="A484" s="1852" t="s">
        <v>2689</v>
      </c>
      <c r="B484" s="1462"/>
      <c r="C484" s="1456">
        <v>200</v>
      </c>
      <c r="D484" s="1456">
        <v>200</v>
      </c>
      <c r="E484" s="1462"/>
      <c r="O484" s="1541">
        <f t="shared" si="14"/>
        <v>0</v>
      </c>
      <c r="P484" s="1541">
        <f t="shared" si="14"/>
        <v>200</v>
      </c>
      <c r="Q484" s="1541">
        <f t="shared" si="14"/>
        <v>200</v>
      </c>
      <c r="R484" s="1541">
        <f t="shared" si="14"/>
        <v>0</v>
      </c>
    </row>
    <row r="485" spans="1:18" x14ac:dyDescent="0.3">
      <c r="A485" s="1852" t="s">
        <v>2690</v>
      </c>
      <c r="B485" s="1462"/>
      <c r="C485" s="1456">
        <v>14850</v>
      </c>
      <c r="D485" s="1456">
        <v>14850</v>
      </c>
      <c r="E485" s="1462"/>
      <c r="O485" s="1541">
        <f t="shared" si="14"/>
        <v>0</v>
      </c>
      <c r="P485" s="1541">
        <f t="shared" si="14"/>
        <v>14850</v>
      </c>
      <c r="Q485" s="1541">
        <f t="shared" si="14"/>
        <v>14850</v>
      </c>
      <c r="R485" s="1541">
        <f t="shared" si="14"/>
        <v>0</v>
      </c>
    </row>
    <row r="486" spans="1:18" x14ac:dyDescent="0.3">
      <c r="A486" s="1855" t="s">
        <v>2691</v>
      </c>
      <c r="B486" s="1462"/>
      <c r="C486" s="1456">
        <v>892</v>
      </c>
      <c r="D486" s="1456">
        <v>892</v>
      </c>
      <c r="E486" s="1462"/>
      <c r="O486" s="1541">
        <f t="shared" si="14"/>
        <v>0</v>
      </c>
      <c r="P486" s="1541">
        <f t="shared" si="14"/>
        <v>892</v>
      </c>
      <c r="Q486" s="1541">
        <f t="shared" si="14"/>
        <v>892</v>
      </c>
      <c r="R486" s="1541">
        <f t="shared" si="14"/>
        <v>0</v>
      </c>
    </row>
    <row r="487" spans="1:18" x14ac:dyDescent="0.3">
      <c r="A487" s="1852" t="s">
        <v>2692</v>
      </c>
      <c r="B487" s="1462"/>
      <c r="C487" s="1456">
        <v>4756</v>
      </c>
      <c r="D487" s="1456">
        <v>4756</v>
      </c>
      <c r="E487" s="1462"/>
      <c r="O487" s="1541">
        <f t="shared" si="14"/>
        <v>0</v>
      </c>
      <c r="P487" s="1541">
        <f t="shared" si="14"/>
        <v>4756</v>
      </c>
      <c r="Q487" s="1541">
        <f t="shared" si="14"/>
        <v>4756</v>
      </c>
      <c r="R487" s="1541">
        <f t="shared" si="14"/>
        <v>0</v>
      </c>
    </row>
    <row r="488" spans="1:18" x14ac:dyDescent="0.3">
      <c r="A488" s="1852" t="s">
        <v>2693</v>
      </c>
      <c r="B488" s="1462"/>
      <c r="C488" s="1456">
        <v>1536</v>
      </c>
      <c r="D488" s="1456">
        <v>1536</v>
      </c>
      <c r="E488" s="1462"/>
      <c r="O488" s="1541">
        <f t="shared" si="14"/>
        <v>0</v>
      </c>
      <c r="P488" s="1541">
        <f t="shared" si="14"/>
        <v>1536</v>
      </c>
      <c r="Q488" s="1541">
        <f t="shared" si="14"/>
        <v>1536</v>
      </c>
      <c r="R488" s="1541">
        <f t="shared" si="14"/>
        <v>0</v>
      </c>
    </row>
    <row r="489" spans="1:18" x14ac:dyDescent="0.3">
      <c r="A489" s="1852" t="s">
        <v>2694</v>
      </c>
      <c r="B489" s="1462"/>
      <c r="C489" s="1456">
        <v>4264</v>
      </c>
      <c r="D489" s="1456">
        <v>4264</v>
      </c>
      <c r="E489" s="1462"/>
      <c r="O489" s="1541">
        <f t="shared" si="14"/>
        <v>0</v>
      </c>
      <c r="P489" s="1541">
        <f t="shared" si="14"/>
        <v>4264</v>
      </c>
      <c r="Q489" s="1541">
        <f t="shared" si="14"/>
        <v>4264</v>
      </c>
      <c r="R489" s="1541">
        <f t="shared" si="14"/>
        <v>0</v>
      </c>
    </row>
    <row r="490" spans="1:18" x14ac:dyDescent="0.3">
      <c r="A490" s="1852" t="s">
        <v>2695</v>
      </c>
      <c r="B490" s="1462"/>
      <c r="C490" s="1456">
        <v>4720.0200000000004</v>
      </c>
      <c r="D490" s="1456">
        <v>4720.0200000000004</v>
      </c>
      <c r="E490" s="1462"/>
      <c r="O490" s="1541">
        <f t="shared" si="14"/>
        <v>0</v>
      </c>
      <c r="P490" s="1541">
        <f t="shared" si="14"/>
        <v>4720.0200000000004</v>
      </c>
      <c r="Q490" s="1541">
        <f t="shared" si="14"/>
        <v>4720.0200000000004</v>
      </c>
      <c r="R490" s="1541">
        <f t="shared" si="14"/>
        <v>0</v>
      </c>
    </row>
    <row r="491" spans="1:18" x14ac:dyDescent="0.3">
      <c r="A491" s="1852" t="s">
        <v>2696</v>
      </c>
      <c r="B491" s="1462"/>
      <c r="C491" s="1456">
        <v>11730</v>
      </c>
      <c r="D491" s="1456">
        <v>11730</v>
      </c>
      <c r="E491" s="1462"/>
      <c r="O491" s="1541">
        <f t="shared" si="14"/>
        <v>0</v>
      </c>
      <c r="P491" s="1541">
        <f t="shared" si="14"/>
        <v>11730</v>
      </c>
      <c r="Q491" s="1541">
        <f t="shared" si="14"/>
        <v>11730</v>
      </c>
      <c r="R491" s="1541">
        <f t="shared" si="14"/>
        <v>0</v>
      </c>
    </row>
    <row r="492" spans="1:18" x14ac:dyDescent="0.3">
      <c r="A492" s="1852" t="s">
        <v>2697</v>
      </c>
      <c r="B492" s="1462"/>
      <c r="C492" s="1456">
        <v>960</v>
      </c>
      <c r="D492" s="1456">
        <v>960</v>
      </c>
      <c r="E492" s="1462"/>
      <c r="O492" s="1541">
        <f t="shared" si="14"/>
        <v>0</v>
      </c>
      <c r="P492" s="1541">
        <f t="shared" si="14"/>
        <v>960</v>
      </c>
      <c r="Q492" s="1541">
        <f t="shared" si="14"/>
        <v>960</v>
      </c>
      <c r="R492" s="1541">
        <f t="shared" si="14"/>
        <v>0</v>
      </c>
    </row>
    <row r="493" spans="1:18" x14ac:dyDescent="0.3">
      <c r="A493" s="1852" t="s">
        <v>2698</v>
      </c>
      <c r="B493" s="1462"/>
      <c r="C493" s="1456">
        <v>200</v>
      </c>
      <c r="D493" s="1456">
        <v>200</v>
      </c>
      <c r="E493" s="1462"/>
      <c r="O493" s="1541">
        <f t="shared" si="14"/>
        <v>0</v>
      </c>
      <c r="P493" s="1541">
        <f t="shared" si="14"/>
        <v>200</v>
      </c>
      <c r="Q493" s="1541">
        <f t="shared" si="14"/>
        <v>200</v>
      </c>
      <c r="R493" s="1541">
        <f t="shared" si="14"/>
        <v>0</v>
      </c>
    </row>
    <row r="494" spans="1:18" x14ac:dyDescent="0.3">
      <c r="A494" s="1852" t="s">
        <v>2699</v>
      </c>
      <c r="B494" s="1462"/>
      <c r="C494" s="1456">
        <v>4630</v>
      </c>
      <c r="D494" s="1456">
        <v>4630</v>
      </c>
      <c r="E494" s="1462"/>
      <c r="O494" s="1541">
        <f t="shared" si="14"/>
        <v>0</v>
      </c>
      <c r="P494" s="1541">
        <f t="shared" si="14"/>
        <v>4630</v>
      </c>
      <c r="Q494" s="1541">
        <f t="shared" si="14"/>
        <v>4630</v>
      </c>
      <c r="R494" s="1541">
        <f t="shared" ref="R494:R557" si="15">E494+L494</f>
        <v>0</v>
      </c>
    </row>
    <row r="495" spans="1:18" x14ac:dyDescent="0.3">
      <c r="A495" s="1852" t="s">
        <v>2700</v>
      </c>
      <c r="B495" s="1462"/>
      <c r="C495" s="1456">
        <v>35040</v>
      </c>
      <c r="D495" s="1456">
        <v>35040</v>
      </c>
      <c r="E495" s="1462"/>
      <c r="O495" s="1541">
        <f t="shared" ref="O495:R558" si="16">B495+I495</f>
        <v>0</v>
      </c>
      <c r="P495" s="1541">
        <f t="shared" si="16"/>
        <v>35040</v>
      </c>
      <c r="Q495" s="1541">
        <f t="shared" si="16"/>
        <v>35040</v>
      </c>
      <c r="R495" s="1541">
        <f t="shared" si="15"/>
        <v>0</v>
      </c>
    </row>
    <row r="496" spans="1:18" x14ac:dyDescent="0.3">
      <c r="A496" s="1852" t="s">
        <v>2701</v>
      </c>
      <c r="B496" s="1462"/>
      <c r="C496" s="1456">
        <v>2372</v>
      </c>
      <c r="D496" s="1456">
        <v>2372</v>
      </c>
      <c r="E496" s="1462"/>
      <c r="O496" s="1541">
        <f t="shared" si="16"/>
        <v>0</v>
      </c>
      <c r="P496" s="1541">
        <f t="shared" si="16"/>
        <v>2372</v>
      </c>
      <c r="Q496" s="1541">
        <f t="shared" si="16"/>
        <v>2372</v>
      </c>
      <c r="R496" s="1541">
        <f t="shared" si="15"/>
        <v>0</v>
      </c>
    </row>
    <row r="497" spans="1:18" x14ac:dyDescent="0.3">
      <c r="A497" s="1855" t="s">
        <v>2702</v>
      </c>
      <c r="B497" s="1462"/>
      <c r="C497" s="1456">
        <v>22150</v>
      </c>
      <c r="D497" s="1456">
        <v>22150</v>
      </c>
      <c r="E497" s="1462"/>
      <c r="O497" s="1541">
        <f t="shared" si="16"/>
        <v>0</v>
      </c>
      <c r="P497" s="1541">
        <f t="shared" si="16"/>
        <v>22150</v>
      </c>
      <c r="Q497" s="1541">
        <f t="shared" si="16"/>
        <v>22150</v>
      </c>
      <c r="R497" s="1541">
        <f t="shared" si="15"/>
        <v>0</v>
      </c>
    </row>
    <row r="498" spans="1:18" x14ac:dyDescent="0.3">
      <c r="A498" s="1852" t="s">
        <v>2703</v>
      </c>
      <c r="B498" s="1462"/>
      <c r="C498" s="1456">
        <v>852</v>
      </c>
      <c r="D498" s="1456">
        <v>852</v>
      </c>
      <c r="E498" s="1462"/>
      <c r="O498" s="1541">
        <f t="shared" si="16"/>
        <v>0</v>
      </c>
      <c r="P498" s="1541">
        <f t="shared" si="16"/>
        <v>852</v>
      </c>
      <c r="Q498" s="1541">
        <f t="shared" si="16"/>
        <v>852</v>
      </c>
      <c r="R498" s="1541">
        <f t="shared" si="15"/>
        <v>0</v>
      </c>
    </row>
    <row r="499" spans="1:18" x14ac:dyDescent="0.3">
      <c r="A499" s="1855" t="s">
        <v>2704</v>
      </c>
      <c r="B499" s="1462"/>
      <c r="C499" s="1456">
        <v>150568</v>
      </c>
      <c r="D499" s="1456">
        <v>149055</v>
      </c>
      <c r="E499" s="1896">
        <v>1513</v>
      </c>
      <c r="O499" s="1541">
        <f t="shared" si="16"/>
        <v>0</v>
      </c>
      <c r="P499" s="1541">
        <f t="shared" si="16"/>
        <v>150568</v>
      </c>
      <c r="Q499" s="1541">
        <f t="shared" si="16"/>
        <v>149055</v>
      </c>
      <c r="R499" s="1541">
        <f t="shared" si="15"/>
        <v>1513</v>
      </c>
    </row>
    <row r="500" spans="1:18" x14ac:dyDescent="0.3">
      <c r="A500" s="1852" t="s">
        <v>2705</v>
      </c>
      <c r="B500" s="1462"/>
      <c r="C500" s="1456">
        <v>525388</v>
      </c>
      <c r="D500" s="1456">
        <v>525388</v>
      </c>
      <c r="E500" s="1462"/>
      <c r="O500" s="1541">
        <f t="shared" si="16"/>
        <v>0</v>
      </c>
      <c r="P500" s="1541">
        <f t="shared" si="16"/>
        <v>525388</v>
      </c>
      <c r="Q500" s="1541">
        <f t="shared" si="16"/>
        <v>525388</v>
      </c>
      <c r="R500" s="1541">
        <f t="shared" si="15"/>
        <v>0</v>
      </c>
    </row>
    <row r="501" spans="1:18" x14ac:dyDescent="0.3">
      <c r="A501" s="1852" t="s">
        <v>2706</v>
      </c>
      <c r="B501" s="1462"/>
      <c r="C501" s="1456">
        <v>11632</v>
      </c>
      <c r="D501" s="1456">
        <v>11631.9</v>
      </c>
      <c r="E501" s="1896">
        <v>0.1</v>
      </c>
      <c r="O501" s="1541">
        <f t="shared" si="16"/>
        <v>0</v>
      </c>
      <c r="P501" s="1541">
        <f t="shared" si="16"/>
        <v>11632</v>
      </c>
      <c r="Q501" s="1541">
        <f t="shared" si="16"/>
        <v>11631.9</v>
      </c>
      <c r="R501" s="1541">
        <f t="shared" si="15"/>
        <v>0.1</v>
      </c>
    </row>
    <row r="502" spans="1:18" x14ac:dyDescent="0.3">
      <c r="A502" s="1852" t="s">
        <v>2707</v>
      </c>
      <c r="B502" s="1462"/>
      <c r="C502" s="1456">
        <v>140</v>
      </c>
      <c r="D502" s="1456">
        <v>140</v>
      </c>
      <c r="E502" s="1462"/>
      <c r="O502" s="1541">
        <f t="shared" si="16"/>
        <v>0</v>
      </c>
      <c r="P502" s="1541">
        <f t="shared" si="16"/>
        <v>140</v>
      </c>
      <c r="Q502" s="1541">
        <f t="shared" si="16"/>
        <v>140</v>
      </c>
      <c r="R502" s="1541">
        <f t="shared" si="15"/>
        <v>0</v>
      </c>
    </row>
    <row r="503" spans="1:18" x14ac:dyDescent="0.3">
      <c r="A503" s="1852" t="s">
        <v>2708</v>
      </c>
      <c r="B503" s="1462"/>
      <c r="C503" s="1456">
        <v>3034</v>
      </c>
      <c r="D503" s="1456">
        <v>3034</v>
      </c>
      <c r="E503" s="1462"/>
      <c r="O503" s="1541">
        <f t="shared" si="16"/>
        <v>0</v>
      </c>
      <c r="P503" s="1541">
        <f t="shared" si="16"/>
        <v>3034</v>
      </c>
      <c r="Q503" s="1541">
        <f t="shared" si="16"/>
        <v>3034</v>
      </c>
      <c r="R503" s="1541">
        <f t="shared" si="15"/>
        <v>0</v>
      </c>
    </row>
    <row r="504" spans="1:18" x14ac:dyDescent="0.3">
      <c r="A504" s="1852" t="s">
        <v>2709</v>
      </c>
      <c r="B504" s="1462"/>
      <c r="C504" s="1456">
        <v>380</v>
      </c>
      <c r="D504" s="1456">
        <v>380</v>
      </c>
      <c r="E504" s="1462"/>
      <c r="O504" s="1541">
        <f t="shared" si="16"/>
        <v>0</v>
      </c>
      <c r="P504" s="1541">
        <f t="shared" si="16"/>
        <v>380</v>
      </c>
      <c r="Q504" s="1541">
        <f t="shared" si="16"/>
        <v>380</v>
      </c>
      <c r="R504" s="1541">
        <f t="shared" si="15"/>
        <v>0</v>
      </c>
    </row>
    <row r="505" spans="1:18" x14ac:dyDescent="0.3">
      <c r="A505" s="1852" t="s">
        <v>2710</v>
      </c>
      <c r="B505" s="1462"/>
      <c r="C505" s="1456">
        <v>23201</v>
      </c>
      <c r="D505" s="1456">
        <v>23245</v>
      </c>
      <c r="E505" s="1471">
        <v>-44</v>
      </c>
      <c r="O505" s="1541">
        <f t="shared" si="16"/>
        <v>0</v>
      </c>
      <c r="P505" s="1541">
        <f t="shared" si="16"/>
        <v>23201</v>
      </c>
      <c r="Q505" s="1541">
        <f t="shared" si="16"/>
        <v>23245</v>
      </c>
      <c r="R505" s="1541">
        <f t="shared" si="15"/>
        <v>-44</v>
      </c>
    </row>
    <row r="506" spans="1:18" x14ac:dyDescent="0.3">
      <c r="A506" s="1852" t="s">
        <v>2711</v>
      </c>
      <c r="B506" s="1462"/>
      <c r="C506" s="1456">
        <v>520</v>
      </c>
      <c r="D506" s="1456">
        <v>520</v>
      </c>
      <c r="E506" s="1462"/>
      <c r="O506" s="1541">
        <f t="shared" si="16"/>
        <v>0</v>
      </c>
      <c r="P506" s="1541">
        <f t="shared" si="16"/>
        <v>520</v>
      </c>
      <c r="Q506" s="1541">
        <f t="shared" si="16"/>
        <v>520</v>
      </c>
      <c r="R506" s="1541">
        <f t="shared" si="15"/>
        <v>0</v>
      </c>
    </row>
    <row r="507" spans="1:18" x14ac:dyDescent="0.3">
      <c r="A507" s="1852" t="s">
        <v>2712</v>
      </c>
      <c r="B507" s="1462"/>
      <c r="C507" s="1456">
        <v>190</v>
      </c>
      <c r="D507" s="1456">
        <v>190</v>
      </c>
      <c r="E507" s="1462"/>
      <c r="O507" s="1541">
        <f t="shared" si="16"/>
        <v>0</v>
      </c>
      <c r="P507" s="1541">
        <f t="shared" si="16"/>
        <v>190</v>
      </c>
      <c r="Q507" s="1541">
        <f t="shared" si="16"/>
        <v>190</v>
      </c>
      <c r="R507" s="1541">
        <f t="shared" si="15"/>
        <v>0</v>
      </c>
    </row>
    <row r="508" spans="1:18" x14ac:dyDescent="0.3">
      <c r="A508" s="1852" t="s">
        <v>2713</v>
      </c>
      <c r="B508" s="1462"/>
      <c r="C508" s="1456">
        <v>149800</v>
      </c>
      <c r="D508" s="1456">
        <v>149800</v>
      </c>
      <c r="E508" s="1462"/>
      <c r="O508" s="1541">
        <f t="shared" si="16"/>
        <v>0</v>
      </c>
      <c r="P508" s="1541">
        <f t="shared" si="16"/>
        <v>149800</v>
      </c>
      <c r="Q508" s="1541">
        <f t="shared" si="16"/>
        <v>149800</v>
      </c>
      <c r="R508" s="1541">
        <f t="shared" si="15"/>
        <v>0</v>
      </c>
    </row>
    <row r="509" spans="1:18" x14ac:dyDescent="0.3">
      <c r="A509" s="1852" t="s">
        <v>2714</v>
      </c>
      <c r="B509" s="1462"/>
      <c r="C509" s="1456">
        <v>8048</v>
      </c>
      <c r="D509" s="1456">
        <v>8048</v>
      </c>
      <c r="E509" s="1462"/>
      <c r="O509" s="1541">
        <f t="shared" si="16"/>
        <v>0</v>
      </c>
      <c r="P509" s="1541">
        <f t="shared" si="16"/>
        <v>8048</v>
      </c>
      <c r="Q509" s="1541">
        <f t="shared" si="16"/>
        <v>8048</v>
      </c>
      <c r="R509" s="1541">
        <f t="shared" si="15"/>
        <v>0</v>
      </c>
    </row>
    <row r="510" spans="1:18" x14ac:dyDescent="0.3">
      <c r="A510" s="1855" t="s">
        <v>2715</v>
      </c>
      <c r="B510" s="1462"/>
      <c r="C510" s="1456">
        <v>28010.02</v>
      </c>
      <c r="D510" s="1456">
        <v>28010</v>
      </c>
      <c r="E510" s="1896">
        <v>0.02</v>
      </c>
      <c r="O510" s="1541">
        <f t="shared" si="16"/>
        <v>0</v>
      </c>
      <c r="P510" s="1541">
        <f t="shared" si="16"/>
        <v>28010.02</v>
      </c>
      <c r="Q510" s="1541">
        <f t="shared" si="16"/>
        <v>28010</v>
      </c>
      <c r="R510" s="1541">
        <f t="shared" si="15"/>
        <v>0.02</v>
      </c>
    </row>
    <row r="511" spans="1:18" x14ac:dyDescent="0.3">
      <c r="A511" s="1852" t="s">
        <v>2716</v>
      </c>
      <c r="B511" s="1462"/>
      <c r="C511" s="1456">
        <v>356</v>
      </c>
      <c r="D511" s="1456">
        <v>356</v>
      </c>
      <c r="E511" s="1462"/>
      <c r="O511" s="1541">
        <f t="shared" si="16"/>
        <v>0</v>
      </c>
      <c r="P511" s="1541">
        <f t="shared" si="16"/>
        <v>356</v>
      </c>
      <c r="Q511" s="1541">
        <f t="shared" si="16"/>
        <v>356</v>
      </c>
      <c r="R511" s="1541">
        <f t="shared" si="15"/>
        <v>0</v>
      </c>
    </row>
    <row r="512" spans="1:18" x14ac:dyDescent="0.3">
      <c r="A512" s="1855" t="s">
        <v>2717</v>
      </c>
      <c r="B512" s="1462"/>
      <c r="C512" s="1456">
        <v>1676</v>
      </c>
      <c r="D512" s="1456">
        <v>1676</v>
      </c>
      <c r="E512" s="1462"/>
      <c r="O512" s="1541">
        <f t="shared" si="16"/>
        <v>0</v>
      </c>
      <c r="P512" s="1541">
        <f t="shared" si="16"/>
        <v>1676</v>
      </c>
      <c r="Q512" s="1541">
        <f t="shared" si="16"/>
        <v>1676</v>
      </c>
      <c r="R512" s="1541">
        <f t="shared" si="15"/>
        <v>0</v>
      </c>
    </row>
    <row r="513" spans="1:18" x14ac:dyDescent="0.3">
      <c r="A513" s="1852" t="s">
        <v>2718</v>
      </c>
      <c r="B513" s="1462"/>
      <c r="C513" s="1456">
        <v>7644.01</v>
      </c>
      <c r="D513" s="1456">
        <v>7643.98</v>
      </c>
      <c r="E513" s="1896">
        <v>0.03</v>
      </c>
      <c r="O513" s="1541">
        <f t="shared" si="16"/>
        <v>0</v>
      </c>
      <c r="P513" s="1541">
        <f t="shared" si="16"/>
        <v>7644.01</v>
      </c>
      <c r="Q513" s="1541">
        <f t="shared" si="16"/>
        <v>7643.98</v>
      </c>
      <c r="R513" s="1541">
        <f t="shared" si="15"/>
        <v>0.03</v>
      </c>
    </row>
    <row r="514" spans="1:18" x14ac:dyDescent="0.3">
      <c r="A514" s="1852" t="s">
        <v>2719</v>
      </c>
      <c r="B514" s="1462"/>
      <c r="C514" s="1456">
        <v>420</v>
      </c>
      <c r="D514" s="1456">
        <v>420</v>
      </c>
      <c r="E514" s="1462"/>
      <c r="O514" s="1541">
        <f t="shared" si="16"/>
        <v>0</v>
      </c>
      <c r="P514" s="1541">
        <f t="shared" si="16"/>
        <v>420</v>
      </c>
      <c r="Q514" s="1541">
        <f t="shared" si="16"/>
        <v>420</v>
      </c>
      <c r="R514" s="1541">
        <f t="shared" si="15"/>
        <v>0</v>
      </c>
    </row>
    <row r="515" spans="1:18" x14ac:dyDescent="0.3">
      <c r="A515" s="1852" t="s">
        <v>2720</v>
      </c>
      <c r="B515" s="1462"/>
      <c r="C515" s="1456">
        <v>38000</v>
      </c>
      <c r="D515" s="1456">
        <v>38000</v>
      </c>
      <c r="E515" s="1462"/>
      <c r="O515" s="1541">
        <f t="shared" si="16"/>
        <v>0</v>
      </c>
      <c r="P515" s="1541">
        <f t="shared" si="16"/>
        <v>38000</v>
      </c>
      <c r="Q515" s="1541">
        <f t="shared" si="16"/>
        <v>38000</v>
      </c>
      <c r="R515" s="1541">
        <f t="shared" si="15"/>
        <v>0</v>
      </c>
    </row>
    <row r="516" spans="1:18" x14ac:dyDescent="0.3">
      <c r="A516" s="1855" t="s">
        <v>2721</v>
      </c>
      <c r="B516" s="1462"/>
      <c r="C516" s="1456">
        <v>10264</v>
      </c>
      <c r="D516" s="1456">
        <v>10264</v>
      </c>
      <c r="E516" s="1462"/>
      <c r="O516" s="1541">
        <f t="shared" si="16"/>
        <v>0</v>
      </c>
      <c r="P516" s="1541">
        <f t="shared" si="16"/>
        <v>10264</v>
      </c>
      <c r="Q516" s="1541">
        <f t="shared" si="16"/>
        <v>10264</v>
      </c>
      <c r="R516" s="1541">
        <f t="shared" si="15"/>
        <v>0</v>
      </c>
    </row>
    <row r="517" spans="1:18" x14ac:dyDescent="0.3">
      <c r="A517" s="1852" t="s">
        <v>2722</v>
      </c>
      <c r="B517" s="1462"/>
      <c r="C517" s="1456">
        <v>3890</v>
      </c>
      <c r="D517" s="1456">
        <v>3890</v>
      </c>
      <c r="E517" s="1462"/>
      <c r="O517" s="1541">
        <f t="shared" si="16"/>
        <v>0</v>
      </c>
      <c r="P517" s="1541">
        <f t="shared" si="16"/>
        <v>3890</v>
      </c>
      <c r="Q517" s="1541">
        <f t="shared" si="16"/>
        <v>3890</v>
      </c>
      <c r="R517" s="1541">
        <f t="shared" si="15"/>
        <v>0</v>
      </c>
    </row>
    <row r="518" spans="1:18" x14ac:dyDescent="0.3">
      <c r="A518" s="1855" t="s">
        <v>2723</v>
      </c>
      <c r="B518" s="1462"/>
      <c r="C518" s="1456">
        <v>8955</v>
      </c>
      <c r="D518" s="1456">
        <v>8955</v>
      </c>
      <c r="E518" s="1462"/>
      <c r="O518" s="1541">
        <f t="shared" si="16"/>
        <v>0</v>
      </c>
      <c r="P518" s="1541">
        <f t="shared" si="16"/>
        <v>8955</v>
      </c>
      <c r="Q518" s="1541">
        <f t="shared" si="16"/>
        <v>8955</v>
      </c>
      <c r="R518" s="1541">
        <f t="shared" si="15"/>
        <v>0</v>
      </c>
    </row>
    <row r="519" spans="1:18" x14ac:dyDescent="0.3">
      <c r="A519" s="1852" t="s">
        <v>2724</v>
      </c>
      <c r="B519" s="1462"/>
      <c r="C519" s="1456">
        <v>11970</v>
      </c>
      <c r="D519" s="1456">
        <v>11970</v>
      </c>
      <c r="E519" s="1462"/>
      <c r="O519" s="1541">
        <f t="shared" si="16"/>
        <v>0</v>
      </c>
      <c r="P519" s="1541">
        <f t="shared" si="16"/>
        <v>11970</v>
      </c>
      <c r="Q519" s="1541">
        <f t="shared" si="16"/>
        <v>11970</v>
      </c>
      <c r="R519" s="1541">
        <f t="shared" si="15"/>
        <v>0</v>
      </c>
    </row>
    <row r="520" spans="1:18" x14ac:dyDescent="0.3">
      <c r="A520" s="1852" t="s">
        <v>2725</v>
      </c>
      <c r="B520" s="1462"/>
      <c r="C520" s="1456">
        <v>9476</v>
      </c>
      <c r="D520" s="1456">
        <v>9476</v>
      </c>
      <c r="E520" s="1462"/>
      <c r="O520" s="1541">
        <f t="shared" si="16"/>
        <v>0</v>
      </c>
      <c r="P520" s="1541">
        <f t="shared" si="16"/>
        <v>9476</v>
      </c>
      <c r="Q520" s="1541">
        <f t="shared" si="16"/>
        <v>9476</v>
      </c>
      <c r="R520" s="1541">
        <f t="shared" si="15"/>
        <v>0</v>
      </c>
    </row>
    <row r="521" spans="1:18" x14ac:dyDescent="0.3">
      <c r="A521" s="1855" t="s">
        <v>2726</v>
      </c>
      <c r="B521" s="1462"/>
      <c r="C521" s="1456">
        <v>547366</v>
      </c>
      <c r="D521" s="1456">
        <v>547366</v>
      </c>
      <c r="E521" s="1462"/>
      <c r="O521" s="1541">
        <f t="shared" si="16"/>
        <v>0</v>
      </c>
      <c r="P521" s="1541">
        <f t="shared" si="16"/>
        <v>547366</v>
      </c>
      <c r="Q521" s="1541">
        <f t="shared" si="16"/>
        <v>547366</v>
      </c>
      <c r="R521" s="1541">
        <f t="shared" si="15"/>
        <v>0</v>
      </c>
    </row>
    <row r="522" spans="1:18" x14ac:dyDescent="0.3">
      <c r="A522" s="1852" t="s">
        <v>2727</v>
      </c>
      <c r="B522" s="1462"/>
      <c r="C522" s="1456">
        <v>3540</v>
      </c>
      <c r="D522" s="1456">
        <v>3540</v>
      </c>
      <c r="E522" s="1462"/>
      <c r="O522" s="1541">
        <f t="shared" si="16"/>
        <v>0</v>
      </c>
      <c r="P522" s="1541">
        <f t="shared" si="16"/>
        <v>3540</v>
      </c>
      <c r="Q522" s="1541">
        <f t="shared" si="16"/>
        <v>3540</v>
      </c>
      <c r="R522" s="1541">
        <f t="shared" si="15"/>
        <v>0</v>
      </c>
    </row>
    <row r="523" spans="1:18" x14ac:dyDescent="0.3">
      <c r="A523" s="1852" t="s">
        <v>2728</v>
      </c>
      <c r="B523" s="1462"/>
      <c r="C523" s="1456">
        <v>400</v>
      </c>
      <c r="D523" s="1456">
        <v>400</v>
      </c>
      <c r="E523" s="1462"/>
      <c r="O523" s="1541">
        <f t="shared" si="16"/>
        <v>0</v>
      </c>
      <c r="P523" s="1541">
        <f t="shared" si="16"/>
        <v>400</v>
      </c>
      <c r="Q523" s="1541">
        <f t="shared" si="16"/>
        <v>400</v>
      </c>
      <c r="R523" s="1541">
        <f t="shared" si="15"/>
        <v>0</v>
      </c>
    </row>
    <row r="524" spans="1:18" x14ac:dyDescent="0.3">
      <c r="A524" s="1852" t="s">
        <v>2729</v>
      </c>
      <c r="B524" s="1462"/>
      <c r="C524" s="1456">
        <v>1050.01</v>
      </c>
      <c r="D524" s="1456">
        <v>1050</v>
      </c>
      <c r="E524" s="1896">
        <v>0.01</v>
      </c>
      <c r="O524" s="1541">
        <f t="shared" si="16"/>
        <v>0</v>
      </c>
      <c r="P524" s="1541">
        <f t="shared" si="16"/>
        <v>1050.01</v>
      </c>
      <c r="Q524" s="1541">
        <f t="shared" si="16"/>
        <v>1050</v>
      </c>
      <c r="R524" s="1541">
        <f t="shared" si="15"/>
        <v>0.01</v>
      </c>
    </row>
    <row r="525" spans="1:18" x14ac:dyDescent="0.3">
      <c r="A525" s="1852" t="s">
        <v>2730</v>
      </c>
      <c r="B525" s="1462"/>
      <c r="C525" s="1456">
        <v>876</v>
      </c>
      <c r="D525" s="1456">
        <v>876</v>
      </c>
      <c r="E525" s="1462"/>
      <c r="O525" s="1541">
        <f t="shared" si="16"/>
        <v>0</v>
      </c>
      <c r="P525" s="1541">
        <f t="shared" si="16"/>
        <v>876</v>
      </c>
      <c r="Q525" s="1541">
        <f t="shared" si="16"/>
        <v>876</v>
      </c>
      <c r="R525" s="1541">
        <f t="shared" si="15"/>
        <v>0</v>
      </c>
    </row>
    <row r="526" spans="1:18" x14ac:dyDescent="0.3">
      <c r="A526" s="1855" t="s">
        <v>2731</v>
      </c>
      <c r="B526" s="1462"/>
      <c r="C526" s="1456">
        <v>4118</v>
      </c>
      <c r="D526" s="1456">
        <v>4118</v>
      </c>
      <c r="E526" s="1462"/>
      <c r="O526" s="1541">
        <f t="shared" si="16"/>
        <v>0</v>
      </c>
      <c r="P526" s="1541">
        <f t="shared" si="16"/>
        <v>4118</v>
      </c>
      <c r="Q526" s="1541">
        <f t="shared" si="16"/>
        <v>4118</v>
      </c>
      <c r="R526" s="1541">
        <f t="shared" si="15"/>
        <v>0</v>
      </c>
    </row>
    <row r="527" spans="1:18" x14ac:dyDescent="0.3">
      <c r="A527" s="1852" t="s">
        <v>2732</v>
      </c>
      <c r="B527" s="1462"/>
      <c r="C527" s="1456">
        <v>140</v>
      </c>
      <c r="D527" s="1456">
        <v>140</v>
      </c>
      <c r="E527" s="1462"/>
      <c r="O527" s="1541">
        <f t="shared" si="16"/>
        <v>0</v>
      </c>
      <c r="P527" s="1541">
        <f t="shared" si="16"/>
        <v>140</v>
      </c>
      <c r="Q527" s="1541">
        <f t="shared" si="16"/>
        <v>140</v>
      </c>
      <c r="R527" s="1541">
        <f t="shared" si="15"/>
        <v>0</v>
      </c>
    </row>
    <row r="528" spans="1:18" x14ac:dyDescent="0.3">
      <c r="A528" s="1852" t="s">
        <v>2733</v>
      </c>
      <c r="B528" s="1462"/>
      <c r="C528" s="1456">
        <v>2814</v>
      </c>
      <c r="D528" s="1456">
        <v>2814</v>
      </c>
      <c r="E528" s="1462"/>
      <c r="O528" s="1541">
        <f t="shared" si="16"/>
        <v>0</v>
      </c>
      <c r="P528" s="1541">
        <f t="shared" si="16"/>
        <v>2814</v>
      </c>
      <c r="Q528" s="1541">
        <f t="shared" si="16"/>
        <v>2814</v>
      </c>
      <c r="R528" s="1541">
        <f t="shared" si="15"/>
        <v>0</v>
      </c>
    </row>
    <row r="529" spans="1:18" x14ac:dyDescent="0.3">
      <c r="A529" s="1852" t="s">
        <v>2734</v>
      </c>
      <c r="B529" s="1462"/>
      <c r="C529" s="1456">
        <v>21101</v>
      </c>
      <c r="D529" s="1456">
        <v>21101</v>
      </c>
      <c r="E529" s="1462"/>
      <c r="O529" s="1541">
        <f t="shared" si="16"/>
        <v>0</v>
      </c>
      <c r="P529" s="1541">
        <f t="shared" si="16"/>
        <v>21101</v>
      </c>
      <c r="Q529" s="1541">
        <f t="shared" si="16"/>
        <v>21101</v>
      </c>
      <c r="R529" s="1541">
        <f t="shared" si="15"/>
        <v>0</v>
      </c>
    </row>
    <row r="530" spans="1:18" x14ac:dyDescent="0.3">
      <c r="A530" s="1852" t="s">
        <v>2735</v>
      </c>
      <c r="B530" s="1462"/>
      <c r="C530" s="1456">
        <v>3232</v>
      </c>
      <c r="D530" s="1456">
        <v>3232</v>
      </c>
      <c r="E530" s="1462"/>
      <c r="O530" s="1541">
        <f t="shared" si="16"/>
        <v>0</v>
      </c>
      <c r="P530" s="1541">
        <f t="shared" si="16"/>
        <v>3232</v>
      </c>
      <c r="Q530" s="1541">
        <f t="shared" si="16"/>
        <v>3232</v>
      </c>
      <c r="R530" s="1541">
        <f t="shared" si="15"/>
        <v>0</v>
      </c>
    </row>
    <row r="531" spans="1:18" x14ac:dyDescent="0.3">
      <c r="A531" s="1852" t="s">
        <v>2736</v>
      </c>
      <c r="B531" s="1462"/>
      <c r="C531" s="1456">
        <v>30000</v>
      </c>
      <c r="D531" s="1456">
        <v>30000</v>
      </c>
      <c r="E531" s="1462"/>
      <c r="O531" s="1541">
        <f t="shared" si="16"/>
        <v>0</v>
      </c>
      <c r="P531" s="1541">
        <f t="shared" si="16"/>
        <v>30000</v>
      </c>
      <c r="Q531" s="1541">
        <f t="shared" si="16"/>
        <v>30000</v>
      </c>
      <c r="R531" s="1541">
        <f t="shared" si="15"/>
        <v>0</v>
      </c>
    </row>
    <row r="532" spans="1:18" x14ac:dyDescent="0.3">
      <c r="A532" s="1852" t="s">
        <v>2737</v>
      </c>
      <c r="B532" s="1462"/>
      <c r="C532" s="1456">
        <v>330</v>
      </c>
      <c r="D532" s="1456">
        <v>330</v>
      </c>
      <c r="E532" s="1462"/>
      <c r="O532" s="1541">
        <f t="shared" si="16"/>
        <v>0</v>
      </c>
      <c r="P532" s="1541">
        <f t="shared" si="16"/>
        <v>330</v>
      </c>
      <c r="Q532" s="1541">
        <f t="shared" si="16"/>
        <v>330</v>
      </c>
      <c r="R532" s="1541">
        <f t="shared" si="15"/>
        <v>0</v>
      </c>
    </row>
    <row r="533" spans="1:18" x14ac:dyDescent="0.3">
      <c r="A533" s="1852" t="s">
        <v>2738</v>
      </c>
      <c r="B533" s="1462"/>
      <c r="C533" s="1456">
        <v>5030</v>
      </c>
      <c r="D533" s="1456">
        <v>5030</v>
      </c>
      <c r="E533" s="1462"/>
      <c r="O533" s="1541">
        <f t="shared" si="16"/>
        <v>0</v>
      </c>
      <c r="P533" s="1541">
        <f t="shared" si="16"/>
        <v>5030</v>
      </c>
      <c r="Q533" s="1541">
        <f t="shared" si="16"/>
        <v>5030</v>
      </c>
      <c r="R533" s="1541">
        <f t="shared" si="15"/>
        <v>0</v>
      </c>
    </row>
    <row r="534" spans="1:18" x14ac:dyDescent="0.3">
      <c r="A534" s="1852" t="s">
        <v>2739</v>
      </c>
      <c r="B534" s="1462"/>
      <c r="C534" s="1456">
        <v>7128</v>
      </c>
      <c r="D534" s="1456">
        <v>7128</v>
      </c>
      <c r="E534" s="1462"/>
      <c r="O534" s="1541">
        <f t="shared" si="16"/>
        <v>0</v>
      </c>
      <c r="P534" s="1541">
        <f t="shared" si="16"/>
        <v>7128</v>
      </c>
      <c r="Q534" s="1541">
        <f t="shared" si="16"/>
        <v>7128</v>
      </c>
      <c r="R534" s="1541">
        <f t="shared" si="15"/>
        <v>0</v>
      </c>
    </row>
    <row r="535" spans="1:18" x14ac:dyDescent="0.3">
      <c r="A535" s="1852" t="s">
        <v>2740</v>
      </c>
      <c r="B535" s="1462"/>
      <c r="C535" s="1456">
        <v>23684</v>
      </c>
      <c r="D535" s="1456">
        <v>23722</v>
      </c>
      <c r="E535" s="1471">
        <v>-38</v>
      </c>
      <c r="O535" s="1541">
        <f t="shared" si="16"/>
        <v>0</v>
      </c>
      <c r="P535" s="1541">
        <f t="shared" si="16"/>
        <v>23684</v>
      </c>
      <c r="Q535" s="1541">
        <f t="shared" si="16"/>
        <v>23722</v>
      </c>
      <c r="R535" s="1541">
        <f t="shared" si="15"/>
        <v>-38</v>
      </c>
    </row>
    <row r="536" spans="1:18" x14ac:dyDescent="0.3">
      <c r="A536" s="1852" t="s">
        <v>2741</v>
      </c>
      <c r="B536" s="1462"/>
      <c r="C536" s="1456">
        <v>560</v>
      </c>
      <c r="D536" s="1456">
        <v>560</v>
      </c>
      <c r="E536" s="1462"/>
      <c r="O536" s="1541">
        <f t="shared" si="16"/>
        <v>0</v>
      </c>
      <c r="P536" s="1541">
        <f t="shared" si="16"/>
        <v>560</v>
      </c>
      <c r="Q536" s="1541">
        <f t="shared" si="16"/>
        <v>560</v>
      </c>
      <c r="R536" s="1541">
        <f t="shared" si="15"/>
        <v>0</v>
      </c>
    </row>
    <row r="537" spans="1:18" x14ac:dyDescent="0.3">
      <c r="A537" s="1852" t="s">
        <v>2742</v>
      </c>
      <c r="B537" s="1462"/>
      <c r="C537" s="1456">
        <v>2120.0100000000002</v>
      </c>
      <c r="D537" s="1456">
        <v>2120.0100000000002</v>
      </c>
      <c r="E537" s="1462"/>
      <c r="O537" s="1541">
        <f t="shared" si="16"/>
        <v>0</v>
      </c>
      <c r="P537" s="1541">
        <f t="shared" si="16"/>
        <v>2120.0100000000002</v>
      </c>
      <c r="Q537" s="1541">
        <f t="shared" si="16"/>
        <v>2120.0100000000002</v>
      </c>
      <c r="R537" s="1541">
        <f t="shared" si="15"/>
        <v>0</v>
      </c>
    </row>
    <row r="538" spans="1:18" x14ac:dyDescent="0.3">
      <c r="A538" s="1852" t="s">
        <v>2743</v>
      </c>
      <c r="B538" s="1462"/>
      <c r="C538" s="1456">
        <v>1210</v>
      </c>
      <c r="D538" s="1456">
        <v>1210</v>
      </c>
      <c r="E538" s="1462"/>
      <c r="O538" s="1541">
        <f t="shared" si="16"/>
        <v>0</v>
      </c>
      <c r="P538" s="1541">
        <f t="shared" si="16"/>
        <v>1210</v>
      </c>
      <c r="Q538" s="1541">
        <f t="shared" si="16"/>
        <v>1210</v>
      </c>
      <c r="R538" s="1541">
        <f t="shared" si="15"/>
        <v>0</v>
      </c>
    </row>
    <row r="539" spans="1:18" x14ac:dyDescent="0.3">
      <c r="A539" s="1852" t="s">
        <v>2744</v>
      </c>
      <c r="B539" s="1462"/>
      <c r="C539" s="1456">
        <v>22600</v>
      </c>
      <c r="D539" s="1456">
        <v>22600</v>
      </c>
      <c r="E539" s="1462"/>
      <c r="O539" s="1541">
        <f t="shared" si="16"/>
        <v>0</v>
      </c>
      <c r="P539" s="1541">
        <f t="shared" si="16"/>
        <v>22600</v>
      </c>
      <c r="Q539" s="1541">
        <f t="shared" si="16"/>
        <v>22600</v>
      </c>
      <c r="R539" s="1541">
        <f t="shared" si="15"/>
        <v>0</v>
      </c>
    </row>
    <row r="540" spans="1:18" x14ac:dyDescent="0.3">
      <c r="A540" s="1852" t="s">
        <v>2745</v>
      </c>
      <c r="B540" s="1462"/>
      <c r="C540" s="1456">
        <v>498</v>
      </c>
      <c r="D540" s="1456">
        <v>498</v>
      </c>
      <c r="E540" s="1462"/>
      <c r="O540" s="1541">
        <f t="shared" si="16"/>
        <v>0</v>
      </c>
      <c r="P540" s="1541">
        <f t="shared" si="16"/>
        <v>498</v>
      </c>
      <c r="Q540" s="1541">
        <f t="shared" si="16"/>
        <v>498</v>
      </c>
      <c r="R540" s="1541">
        <f t="shared" si="15"/>
        <v>0</v>
      </c>
    </row>
    <row r="541" spans="1:18" x14ac:dyDescent="0.3">
      <c r="A541" s="1852" t="s">
        <v>2746</v>
      </c>
      <c r="B541" s="1462"/>
      <c r="C541" s="1456">
        <v>19030</v>
      </c>
      <c r="D541" s="1456">
        <v>19030</v>
      </c>
      <c r="E541" s="1462"/>
      <c r="O541" s="1541">
        <f t="shared" si="16"/>
        <v>0</v>
      </c>
      <c r="P541" s="1541">
        <f t="shared" si="16"/>
        <v>19030</v>
      </c>
      <c r="Q541" s="1541">
        <f t="shared" si="16"/>
        <v>19030</v>
      </c>
      <c r="R541" s="1541">
        <f t="shared" si="15"/>
        <v>0</v>
      </c>
    </row>
    <row r="542" spans="1:18" x14ac:dyDescent="0.3">
      <c r="A542" s="1855" t="s">
        <v>2747</v>
      </c>
      <c r="B542" s="1462"/>
      <c r="C542" s="1456">
        <v>400</v>
      </c>
      <c r="D542" s="1456">
        <v>400</v>
      </c>
      <c r="E542" s="1462"/>
      <c r="O542" s="1541">
        <f t="shared" si="16"/>
        <v>0</v>
      </c>
      <c r="P542" s="1541">
        <f t="shared" si="16"/>
        <v>400</v>
      </c>
      <c r="Q542" s="1541">
        <f t="shared" si="16"/>
        <v>400</v>
      </c>
      <c r="R542" s="1541">
        <f t="shared" si="15"/>
        <v>0</v>
      </c>
    </row>
    <row r="543" spans="1:18" x14ac:dyDescent="0.3">
      <c r="A543" s="1855" t="s">
        <v>2748</v>
      </c>
      <c r="B543" s="1462"/>
      <c r="C543" s="1456">
        <v>2800</v>
      </c>
      <c r="D543" s="1456">
        <v>2800</v>
      </c>
      <c r="E543" s="1462"/>
      <c r="O543" s="1541">
        <f t="shared" si="16"/>
        <v>0</v>
      </c>
      <c r="P543" s="1541">
        <f t="shared" si="16"/>
        <v>2800</v>
      </c>
      <c r="Q543" s="1541">
        <f t="shared" si="16"/>
        <v>2800</v>
      </c>
      <c r="R543" s="1541">
        <f t="shared" si="15"/>
        <v>0</v>
      </c>
    </row>
    <row r="544" spans="1:18" x14ac:dyDescent="0.3">
      <c r="A544" s="1852" t="s">
        <v>2749</v>
      </c>
      <c r="B544" s="1462"/>
      <c r="C544" s="1456">
        <v>1660</v>
      </c>
      <c r="D544" s="1456">
        <v>1660</v>
      </c>
      <c r="E544" s="1462"/>
      <c r="O544" s="1541">
        <f t="shared" si="16"/>
        <v>0</v>
      </c>
      <c r="P544" s="1541">
        <f t="shared" si="16"/>
        <v>1660</v>
      </c>
      <c r="Q544" s="1541">
        <f t="shared" si="16"/>
        <v>1660</v>
      </c>
      <c r="R544" s="1541">
        <f t="shared" si="15"/>
        <v>0</v>
      </c>
    </row>
    <row r="545" spans="1:18" x14ac:dyDescent="0.3">
      <c r="A545" s="1852" t="s">
        <v>2750</v>
      </c>
      <c r="B545" s="1462"/>
      <c r="C545" s="1456">
        <v>1472</v>
      </c>
      <c r="D545" s="1456">
        <v>1472</v>
      </c>
      <c r="E545" s="1462"/>
      <c r="O545" s="1541">
        <f t="shared" si="16"/>
        <v>0</v>
      </c>
      <c r="P545" s="1541">
        <f t="shared" si="16"/>
        <v>1472</v>
      </c>
      <c r="Q545" s="1541">
        <f t="shared" si="16"/>
        <v>1472</v>
      </c>
      <c r="R545" s="1541">
        <f t="shared" si="15"/>
        <v>0</v>
      </c>
    </row>
    <row r="546" spans="1:18" x14ac:dyDescent="0.3">
      <c r="A546" s="1852" t="s">
        <v>2751</v>
      </c>
      <c r="B546" s="1462"/>
      <c r="C546" s="1456">
        <v>22195</v>
      </c>
      <c r="D546" s="1456">
        <v>22195</v>
      </c>
      <c r="E546" s="1462"/>
      <c r="O546" s="1541">
        <f t="shared" si="16"/>
        <v>0</v>
      </c>
      <c r="P546" s="1541">
        <f t="shared" si="16"/>
        <v>22195</v>
      </c>
      <c r="Q546" s="1541">
        <f t="shared" si="16"/>
        <v>22195</v>
      </c>
      <c r="R546" s="1541">
        <f t="shared" si="15"/>
        <v>0</v>
      </c>
    </row>
    <row r="547" spans="1:18" x14ac:dyDescent="0.3">
      <c r="A547" s="1852" t="s">
        <v>2752</v>
      </c>
      <c r="B547" s="1462"/>
      <c r="C547" s="1456">
        <v>50540</v>
      </c>
      <c r="D547" s="1456">
        <v>50540</v>
      </c>
      <c r="E547" s="1462"/>
      <c r="O547" s="1541">
        <f t="shared" si="16"/>
        <v>0</v>
      </c>
      <c r="P547" s="1541">
        <f t="shared" si="16"/>
        <v>50540</v>
      </c>
      <c r="Q547" s="1541">
        <f t="shared" si="16"/>
        <v>50540</v>
      </c>
      <c r="R547" s="1541">
        <f t="shared" si="15"/>
        <v>0</v>
      </c>
    </row>
    <row r="548" spans="1:18" x14ac:dyDescent="0.3">
      <c r="A548" s="1852" t="s">
        <v>2753</v>
      </c>
      <c r="B548" s="1462"/>
      <c r="C548" s="1456">
        <v>17132</v>
      </c>
      <c r="D548" s="1456">
        <v>17132</v>
      </c>
      <c r="E548" s="1462"/>
      <c r="O548" s="1541">
        <f t="shared" si="16"/>
        <v>0</v>
      </c>
      <c r="P548" s="1541">
        <f t="shared" si="16"/>
        <v>17132</v>
      </c>
      <c r="Q548" s="1541">
        <f t="shared" si="16"/>
        <v>17132</v>
      </c>
      <c r="R548" s="1541">
        <f t="shared" si="15"/>
        <v>0</v>
      </c>
    </row>
    <row r="549" spans="1:18" x14ac:dyDescent="0.3">
      <c r="A549" s="1852" t="s">
        <v>2754</v>
      </c>
      <c r="B549" s="1462"/>
      <c r="C549" s="1456">
        <v>1318</v>
      </c>
      <c r="D549" s="1456">
        <v>1318</v>
      </c>
      <c r="E549" s="1462"/>
      <c r="O549" s="1541">
        <f t="shared" si="16"/>
        <v>0</v>
      </c>
      <c r="P549" s="1541">
        <f t="shared" si="16"/>
        <v>1318</v>
      </c>
      <c r="Q549" s="1541">
        <f t="shared" si="16"/>
        <v>1318</v>
      </c>
      <c r="R549" s="1541">
        <f t="shared" si="15"/>
        <v>0</v>
      </c>
    </row>
    <row r="550" spans="1:18" x14ac:dyDescent="0.3">
      <c r="A550" s="1852" t="s">
        <v>2755</v>
      </c>
      <c r="B550" s="1462"/>
      <c r="C550" s="1456">
        <v>800</v>
      </c>
      <c r="D550" s="1456">
        <v>800</v>
      </c>
      <c r="E550" s="1462"/>
      <c r="O550" s="1541">
        <f t="shared" si="16"/>
        <v>0</v>
      </c>
      <c r="P550" s="1541">
        <f t="shared" si="16"/>
        <v>800</v>
      </c>
      <c r="Q550" s="1541">
        <f t="shared" si="16"/>
        <v>800</v>
      </c>
      <c r="R550" s="1541">
        <f t="shared" si="15"/>
        <v>0</v>
      </c>
    </row>
    <row r="551" spans="1:18" x14ac:dyDescent="0.3">
      <c r="A551" s="1852" t="s">
        <v>2756</v>
      </c>
      <c r="B551" s="1462"/>
      <c r="C551" s="1456">
        <v>2556</v>
      </c>
      <c r="D551" s="1456">
        <v>2556</v>
      </c>
      <c r="E551" s="1462"/>
      <c r="O551" s="1541">
        <f t="shared" si="16"/>
        <v>0</v>
      </c>
      <c r="P551" s="1541">
        <f t="shared" si="16"/>
        <v>2556</v>
      </c>
      <c r="Q551" s="1541">
        <f t="shared" si="16"/>
        <v>2556</v>
      </c>
      <c r="R551" s="1541">
        <f t="shared" si="15"/>
        <v>0</v>
      </c>
    </row>
    <row r="552" spans="1:18" x14ac:dyDescent="0.3">
      <c r="A552" s="1852" t="s">
        <v>2757</v>
      </c>
      <c r="B552" s="1462"/>
      <c r="C552" s="1456">
        <v>1980</v>
      </c>
      <c r="D552" s="1456">
        <v>1980</v>
      </c>
      <c r="E552" s="1462"/>
      <c r="O552" s="1541">
        <f t="shared" si="16"/>
        <v>0</v>
      </c>
      <c r="P552" s="1541">
        <f t="shared" si="16"/>
        <v>1980</v>
      </c>
      <c r="Q552" s="1541">
        <f t="shared" si="16"/>
        <v>1980</v>
      </c>
      <c r="R552" s="1541">
        <f t="shared" si="15"/>
        <v>0</v>
      </c>
    </row>
    <row r="553" spans="1:18" x14ac:dyDescent="0.3">
      <c r="A553" s="1852" t="s">
        <v>2758</v>
      </c>
      <c r="B553" s="1462"/>
      <c r="C553" s="1456">
        <v>11990.01</v>
      </c>
      <c r="D553" s="1456">
        <v>11990</v>
      </c>
      <c r="E553" s="1896">
        <v>0.01</v>
      </c>
      <c r="O553" s="1541">
        <f t="shared" si="16"/>
        <v>0</v>
      </c>
      <c r="P553" s="1541">
        <f t="shared" si="16"/>
        <v>11990.01</v>
      </c>
      <c r="Q553" s="1541">
        <f t="shared" si="16"/>
        <v>11990</v>
      </c>
      <c r="R553" s="1541">
        <f t="shared" si="15"/>
        <v>0.01</v>
      </c>
    </row>
    <row r="554" spans="1:18" x14ac:dyDescent="0.3">
      <c r="A554" s="1852" t="s">
        <v>2759</v>
      </c>
      <c r="B554" s="1462"/>
      <c r="C554" s="1456">
        <v>7840</v>
      </c>
      <c r="D554" s="1456">
        <v>7840</v>
      </c>
      <c r="E554" s="1462"/>
      <c r="O554" s="1541">
        <f t="shared" si="16"/>
        <v>0</v>
      </c>
      <c r="P554" s="1541">
        <f t="shared" si="16"/>
        <v>7840</v>
      </c>
      <c r="Q554" s="1541">
        <f t="shared" si="16"/>
        <v>7840</v>
      </c>
      <c r="R554" s="1541">
        <f t="shared" si="15"/>
        <v>0</v>
      </c>
    </row>
    <row r="555" spans="1:18" x14ac:dyDescent="0.3">
      <c r="A555" s="1852" t="s">
        <v>2760</v>
      </c>
      <c r="B555" s="1462"/>
      <c r="C555" s="1456">
        <v>332</v>
      </c>
      <c r="D555" s="1456">
        <v>332</v>
      </c>
      <c r="E555" s="1462"/>
      <c r="O555" s="1541">
        <f t="shared" si="16"/>
        <v>0</v>
      </c>
      <c r="P555" s="1541">
        <f t="shared" si="16"/>
        <v>332</v>
      </c>
      <c r="Q555" s="1541">
        <f t="shared" si="16"/>
        <v>332</v>
      </c>
      <c r="R555" s="1541">
        <f t="shared" si="15"/>
        <v>0</v>
      </c>
    </row>
    <row r="556" spans="1:18" x14ac:dyDescent="0.3">
      <c r="A556" s="1852" t="s">
        <v>2761</v>
      </c>
      <c r="B556" s="1462"/>
      <c r="C556" s="1456">
        <v>306</v>
      </c>
      <c r="D556" s="1456">
        <v>306</v>
      </c>
      <c r="E556" s="1462"/>
      <c r="O556" s="1541">
        <f t="shared" si="16"/>
        <v>0</v>
      </c>
      <c r="P556" s="1541">
        <f t="shared" si="16"/>
        <v>306</v>
      </c>
      <c r="Q556" s="1541">
        <f t="shared" si="16"/>
        <v>306</v>
      </c>
      <c r="R556" s="1541">
        <f t="shared" si="15"/>
        <v>0</v>
      </c>
    </row>
    <row r="557" spans="1:18" x14ac:dyDescent="0.3">
      <c r="A557" s="1852" t="s">
        <v>2762</v>
      </c>
      <c r="B557" s="1462"/>
      <c r="C557" s="1456">
        <v>400</v>
      </c>
      <c r="D557" s="1456">
        <v>400</v>
      </c>
      <c r="E557" s="1462"/>
      <c r="O557" s="1541">
        <f t="shared" si="16"/>
        <v>0</v>
      </c>
      <c r="P557" s="1541">
        <f t="shared" si="16"/>
        <v>400</v>
      </c>
      <c r="Q557" s="1541">
        <f t="shared" si="16"/>
        <v>400</v>
      </c>
      <c r="R557" s="1541">
        <f t="shared" si="15"/>
        <v>0</v>
      </c>
    </row>
    <row r="558" spans="1:18" x14ac:dyDescent="0.3">
      <c r="A558" s="1852" t="s">
        <v>2763</v>
      </c>
      <c r="B558" s="1462"/>
      <c r="C558" s="1456">
        <v>712</v>
      </c>
      <c r="D558" s="1456">
        <v>712</v>
      </c>
      <c r="E558" s="1462"/>
      <c r="O558" s="1541">
        <f t="shared" si="16"/>
        <v>0</v>
      </c>
      <c r="P558" s="1541">
        <f t="shared" si="16"/>
        <v>712</v>
      </c>
      <c r="Q558" s="1541">
        <f t="shared" si="16"/>
        <v>712</v>
      </c>
      <c r="R558" s="1541">
        <f t="shared" si="16"/>
        <v>0</v>
      </c>
    </row>
    <row r="559" spans="1:18" x14ac:dyDescent="0.3">
      <c r="A559" s="1855" t="s">
        <v>2764</v>
      </c>
      <c r="B559" s="1462"/>
      <c r="C559" s="1456">
        <v>7046</v>
      </c>
      <c r="D559" s="1456">
        <v>7046</v>
      </c>
      <c r="E559" s="1462"/>
      <c r="O559" s="1541">
        <f t="shared" ref="O559:R622" si="17">B559+I559</f>
        <v>0</v>
      </c>
      <c r="P559" s="1541">
        <f t="shared" si="17"/>
        <v>7046</v>
      </c>
      <c r="Q559" s="1541">
        <f t="shared" si="17"/>
        <v>7046</v>
      </c>
      <c r="R559" s="1541">
        <f t="shared" si="17"/>
        <v>0</v>
      </c>
    </row>
    <row r="560" spans="1:18" x14ac:dyDescent="0.3">
      <c r="A560" s="1852" t="s">
        <v>2765</v>
      </c>
      <c r="B560" s="1462"/>
      <c r="C560" s="1456">
        <v>400</v>
      </c>
      <c r="D560" s="1456">
        <v>400</v>
      </c>
      <c r="E560" s="1462"/>
      <c r="O560" s="1541">
        <f t="shared" si="17"/>
        <v>0</v>
      </c>
      <c r="P560" s="1541">
        <f t="shared" si="17"/>
        <v>400</v>
      </c>
      <c r="Q560" s="1541">
        <f t="shared" si="17"/>
        <v>400</v>
      </c>
      <c r="R560" s="1541">
        <f t="shared" si="17"/>
        <v>0</v>
      </c>
    </row>
    <row r="561" spans="1:18" x14ac:dyDescent="0.3">
      <c r="A561" s="1852" t="s">
        <v>2766</v>
      </c>
      <c r="B561" s="1462"/>
      <c r="C561" s="1456">
        <v>29410.04</v>
      </c>
      <c r="D561" s="1456">
        <v>29410</v>
      </c>
      <c r="E561" s="1896">
        <v>0.04</v>
      </c>
      <c r="O561" s="1541">
        <f t="shared" si="17"/>
        <v>0</v>
      </c>
      <c r="P561" s="1541">
        <f t="shared" si="17"/>
        <v>29410.04</v>
      </c>
      <c r="Q561" s="1541">
        <f t="shared" si="17"/>
        <v>29410</v>
      </c>
      <c r="R561" s="1541">
        <f t="shared" si="17"/>
        <v>0.04</v>
      </c>
    </row>
    <row r="562" spans="1:18" x14ac:dyDescent="0.3">
      <c r="A562" s="1852" t="s">
        <v>2767</v>
      </c>
      <c r="B562" s="1462"/>
      <c r="C562" s="1456">
        <v>3170</v>
      </c>
      <c r="D562" s="1456">
        <v>3170</v>
      </c>
      <c r="E562" s="1462"/>
      <c r="O562" s="1541">
        <f t="shared" si="17"/>
        <v>0</v>
      </c>
      <c r="P562" s="1541">
        <f t="shared" si="17"/>
        <v>3170</v>
      </c>
      <c r="Q562" s="1541">
        <f t="shared" si="17"/>
        <v>3170</v>
      </c>
      <c r="R562" s="1541">
        <f t="shared" si="17"/>
        <v>0</v>
      </c>
    </row>
    <row r="563" spans="1:18" x14ac:dyDescent="0.3">
      <c r="A563" s="1852" t="s">
        <v>2768</v>
      </c>
      <c r="B563" s="1462"/>
      <c r="C563" s="1456">
        <v>190</v>
      </c>
      <c r="D563" s="1456">
        <v>190</v>
      </c>
      <c r="E563" s="1462"/>
      <c r="O563" s="1541">
        <f t="shared" si="17"/>
        <v>0</v>
      </c>
      <c r="P563" s="1541">
        <f t="shared" si="17"/>
        <v>190</v>
      </c>
      <c r="Q563" s="1541">
        <f t="shared" si="17"/>
        <v>190</v>
      </c>
      <c r="R563" s="1541">
        <f t="shared" si="17"/>
        <v>0</v>
      </c>
    </row>
    <row r="564" spans="1:18" x14ac:dyDescent="0.3">
      <c r="A564" s="1852" t="s">
        <v>2769</v>
      </c>
      <c r="B564" s="1462"/>
      <c r="C564" s="1456">
        <v>2490</v>
      </c>
      <c r="D564" s="1456">
        <v>2490</v>
      </c>
      <c r="E564" s="1462"/>
      <c r="O564" s="1541">
        <f t="shared" si="17"/>
        <v>0</v>
      </c>
      <c r="P564" s="1541">
        <f t="shared" si="17"/>
        <v>2490</v>
      </c>
      <c r="Q564" s="1541">
        <f t="shared" si="17"/>
        <v>2490</v>
      </c>
      <c r="R564" s="1541">
        <f t="shared" si="17"/>
        <v>0</v>
      </c>
    </row>
    <row r="565" spans="1:18" x14ac:dyDescent="0.3">
      <c r="A565" s="1852" t="s">
        <v>2770</v>
      </c>
      <c r="B565" s="1462"/>
      <c r="C565" s="1456">
        <v>40291</v>
      </c>
      <c r="D565" s="1456">
        <v>40291</v>
      </c>
      <c r="E565" s="1462"/>
      <c r="O565" s="1541">
        <f t="shared" si="17"/>
        <v>0</v>
      </c>
      <c r="P565" s="1541">
        <f t="shared" si="17"/>
        <v>40291</v>
      </c>
      <c r="Q565" s="1541">
        <f t="shared" si="17"/>
        <v>40291</v>
      </c>
      <c r="R565" s="1541">
        <f t="shared" si="17"/>
        <v>0</v>
      </c>
    </row>
    <row r="566" spans="1:18" x14ac:dyDescent="0.3">
      <c r="A566" s="1852" t="s">
        <v>2771</v>
      </c>
      <c r="B566" s="1462"/>
      <c r="C566" s="1456">
        <v>570</v>
      </c>
      <c r="D566" s="1456">
        <v>570</v>
      </c>
      <c r="E566" s="1462"/>
      <c r="O566" s="1541">
        <f t="shared" si="17"/>
        <v>0</v>
      </c>
      <c r="P566" s="1541">
        <f t="shared" si="17"/>
        <v>570</v>
      </c>
      <c r="Q566" s="1541">
        <f t="shared" si="17"/>
        <v>570</v>
      </c>
      <c r="R566" s="1541">
        <f t="shared" si="17"/>
        <v>0</v>
      </c>
    </row>
    <row r="567" spans="1:18" x14ac:dyDescent="0.3">
      <c r="A567" s="1852" t="s">
        <v>2772</v>
      </c>
      <c r="B567" s="1462"/>
      <c r="C567" s="1456">
        <v>520</v>
      </c>
      <c r="D567" s="1456">
        <v>520</v>
      </c>
      <c r="E567" s="1462"/>
      <c r="O567" s="1541">
        <f t="shared" si="17"/>
        <v>0</v>
      </c>
      <c r="P567" s="1541">
        <f t="shared" si="17"/>
        <v>520</v>
      </c>
      <c r="Q567" s="1541">
        <f t="shared" si="17"/>
        <v>520</v>
      </c>
      <c r="R567" s="1541">
        <f t="shared" si="17"/>
        <v>0</v>
      </c>
    </row>
    <row r="568" spans="1:18" x14ac:dyDescent="0.3">
      <c r="A568" s="1852" t="s">
        <v>2773</v>
      </c>
      <c r="B568" s="1462"/>
      <c r="C568" s="1456">
        <v>1566</v>
      </c>
      <c r="D568" s="1456">
        <v>1566</v>
      </c>
      <c r="E568" s="1462"/>
      <c r="O568" s="1541">
        <f t="shared" si="17"/>
        <v>0</v>
      </c>
      <c r="P568" s="1541">
        <f t="shared" si="17"/>
        <v>1566</v>
      </c>
      <c r="Q568" s="1541">
        <f t="shared" si="17"/>
        <v>1566</v>
      </c>
      <c r="R568" s="1541">
        <f t="shared" si="17"/>
        <v>0</v>
      </c>
    </row>
    <row r="569" spans="1:18" x14ac:dyDescent="0.3">
      <c r="A569" s="1855" t="s">
        <v>2774</v>
      </c>
      <c r="B569" s="1462"/>
      <c r="C569" s="1456">
        <v>15893.01</v>
      </c>
      <c r="D569" s="1456">
        <v>17592.91</v>
      </c>
      <c r="E569" s="1471">
        <v>-1699.9</v>
      </c>
      <c r="O569" s="1541">
        <f t="shared" si="17"/>
        <v>0</v>
      </c>
      <c r="P569" s="1541">
        <f t="shared" si="17"/>
        <v>15893.01</v>
      </c>
      <c r="Q569" s="1541">
        <f t="shared" si="17"/>
        <v>17592.91</v>
      </c>
      <c r="R569" s="1541">
        <f t="shared" si="17"/>
        <v>-1699.9</v>
      </c>
    </row>
    <row r="570" spans="1:18" x14ac:dyDescent="0.3">
      <c r="A570" s="1855" t="s">
        <v>2775</v>
      </c>
      <c r="B570" s="1462"/>
      <c r="C570" s="1456">
        <v>190</v>
      </c>
      <c r="D570" s="1456">
        <v>190</v>
      </c>
      <c r="E570" s="1462"/>
      <c r="O570" s="1541">
        <f t="shared" si="17"/>
        <v>0</v>
      </c>
      <c r="P570" s="1541">
        <f t="shared" si="17"/>
        <v>190</v>
      </c>
      <c r="Q570" s="1541">
        <f t="shared" si="17"/>
        <v>190</v>
      </c>
      <c r="R570" s="1541">
        <f t="shared" si="17"/>
        <v>0</v>
      </c>
    </row>
    <row r="571" spans="1:18" x14ac:dyDescent="0.3">
      <c r="A571" s="1855" t="s">
        <v>2776</v>
      </c>
      <c r="B571" s="1462"/>
      <c r="C571" s="1456">
        <v>1224</v>
      </c>
      <c r="D571" s="1456">
        <v>1224</v>
      </c>
      <c r="E571" s="1462"/>
      <c r="O571" s="1541">
        <f t="shared" si="17"/>
        <v>0</v>
      </c>
      <c r="P571" s="1541">
        <f t="shared" si="17"/>
        <v>1224</v>
      </c>
      <c r="Q571" s="1541">
        <f t="shared" si="17"/>
        <v>1224</v>
      </c>
      <c r="R571" s="1541">
        <f t="shared" si="17"/>
        <v>0</v>
      </c>
    </row>
    <row r="572" spans="1:18" x14ac:dyDescent="0.3">
      <c r="A572" s="1855" t="s">
        <v>2777</v>
      </c>
      <c r="B572" s="1462"/>
      <c r="C572" s="1456">
        <v>4058</v>
      </c>
      <c r="D572" s="1456">
        <v>4058</v>
      </c>
      <c r="E572" s="1462"/>
      <c r="O572" s="1541">
        <f t="shared" si="17"/>
        <v>0</v>
      </c>
      <c r="P572" s="1541">
        <f t="shared" si="17"/>
        <v>4058</v>
      </c>
      <c r="Q572" s="1541">
        <f t="shared" si="17"/>
        <v>4058</v>
      </c>
      <c r="R572" s="1541">
        <f t="shared" si="17"/>
        <v>0</v>
      </c>
    </row>
    <row r="573" spans="1:18" x14ac:dyDescent="0.3">
      <c r="A573" s="1852" t="s">
        <v>2778</v>
      </c>
      <c r="B573" s="1462"/>
      <c r="C573" s="1456">
        <v>480</v>
      </c>
      <c r="D573" s="1456">
        <v>480</v>
      </c>
      <c r="E573" s="1462"/>
      <c r="O573" s="1541">
        <f t="shared" si="17"/>
        <v>0</v>
      </c>
      <c r="P573" s="1541">
        <f t="shared" si="17"/>
        <v>480</v>
      </c>
      <c r="Q573" s="1541">
        <f t="shared" si="17"/>
        <v>480</v>
      </c>
      <c r="R573" s="1541">
        <f t="shared" si="17"/>
        <v>0</v>
      </c>
    </row>
    <row r="574" spans="1:18" x14ac:dyDescent="0.3">
      <c r="A574" s="1855" t="s">
        <v>2779</v>
      </c>
      <c r="B574" s="1462"/>
      <c r="C574" s="1456">
        <v>3980</v>
      </c>
      <c r="D574" s="1456">
        <v>3980</v>
      </c>
      <c r="E574" s="1462"/>
      <c r="O574" s="1541">
        <f t="shared" si="17"/>
        <v>0</v>
      </c>
      <c r="P574" s="1541">
        <f t="shared" si="17"/>
        <v>3980</v>
      </c>
      <c r="Q574" s="1541">
        <f t="shared" si="17"/>
        <v>3980</v>
      </c>
      <c r="R574" s="1541">
        <f t="shared" si="17"/>
        <v>0</v>
      </c>
    </row>
    <row r="575" spans="1:18" x14ac:dyDescent="0.3">
      <c r="A575" s="1852" t="s">
        <v>2780</v>
      </c>
      <c r="B575" s="1462"/>
      <c r="C575" s="1456">
        <v>69825</v>
      </c>
      <c r="D575" s="1456">
        <v>69825</v>
      </c>
      <c r="E575" s="1462"/>
      <c r="O575" s="1541">
        <f t="shared" si="17"/>
        <v>0</v>
      </c>
      <c r="P575" s="1541">
        <f t="shared" si="17"/>
        <v>69825</v>
      </c>
      <c r="Q575" s="1541">
        <f t="shared" si="17"/>
        <v>69825</v>
      </c>
      <c r="R575" s="1541">
        <f t="shared" si="17"/>
        <v>0</v>
      </c>
    </row>
    <row r="576" spans="1:18" x14ac:dyDescent="0.3">
      <c r="A576" s="1855" t="s">
        <v>2781</v>
      </c>
      <c r="B576" s="1462"/>
      <c r="C576" s="1456">
        <v>2831</v>
      </c>
      <c r="D576" s="1456">
        <v>2831</v>
      </c>
      <c r="E576" s="1462"/>
      <c r="O576" s="1541">
        <f t="shared" si="17"/>
        <v>0</v>
      </c>
      <c r="P576" s="1541">
        <f t="shared" si="17"/>
        <v>2831</v>
      </c>
      <c r="Q576" s="1541">
        <f t="shared" si="17"/>
        <v>2831</v>
      </c>
      <c r="R576" s="1541">
        <f t="shared" si="17"/>
        <v>0</v>
      </c>
    </row>
    <row r="577" spans="1:18" x14ac:dyDescent="0.3">
      <c r="A577" s="1852" t="s">
        <v>2782</v>
      </c>
      <c r="B577" s="1462"/>
      <c r="C577" s="1456">
        <v>24000</v>
      </c>
      <c r="D577" s="1456">
        <v>24000</v>
      </c>
      <c r="E577" s="1462"/>
      <c r="O577" s="1541">
        <f t="shared" si="17"/>
        <v>0</v>
      </c>
      <c r="P577" s="1541">
        <f t="shared" si="17"/>
        <v>24000</v>
      </c>
      <c r="Q577" s="1541">
        <f t="shared" si="17"/>
        <v>24000</v>
      </c>
      <c r="R577" s="1541">
        <f t="shared" si="17"/>
        <v>0</v>
      </c>
    </row>
    <row r="578" spans="1:18" x14ac:dyDescent="0.3">
      <c r="A578" s="1855" t="s">
        <v>2783</v>
      </c>
      <c r="B578" s="1462"/>
      <c r="C578" s="1456">
        <v>1156</v>
      </c>
      <c r="D578" s="1456">
        <v>1156</v>
      </c>
      <c r="E578" s="1462"/>
      <c r="O578" s="1541">
        <f t="shared" si="17"/>
        <v>0</v>
      </c>
      <c r="P578" s="1541">
        <f t="shared" si="17"/>
        <v>1156</v>
      </c>
      <c r="Q578" s="1541">
        <f t="shared" si="17"/>
        <v>1156</v>
      </c>
      <c r="R578" s="1541">
        <f t="shared" si="17"/>
        <v>0</v>
      </c>
    </row>
    <row r="579" spans="1:18" x14ac:dyDescent="0.3">
      <c r="A579" s="1855" t="s">
        <v>2784</v>
      </c>
      <c r="B579" s="1462"/>
      <c r="C579" s="1456">
        <v>29170.01</v>
      </c>
      <c r="D579" s="1456">
        <v>29170</v>
      </c>
      <c r="E579" s="1896">
        <v>0.01</v>
      </c>
      <c r="O579" s="1541">
        <f t="shared" si="17"/>
        <v>0</v>
      </c>
      <c r="P579" s="1541">
        <f t="shared" si="17"/>
        <v>29170.01</v>
      </c>
      <c r="Q579" s="1541">
        <f t="shared" si="17"/>
        <v>29170</v>
      </c>
      <c r="R579" s="1541">
        <f t="shared" si="17"/>
        <v>0.01</v>
      </c>
    </row>
    <row r="580" spans="1:18" x14ac:dyDescent="0.3">
      <c r="A580" s="1852" t="s">
        <v>2785</v>
      </c>
      <c r="B580" s="1462"/>
      <c r="C580" s="1456">
        <v>26012</v>
      </c>
      <c r="D580" s="1456">
        <v>26012</v>
      </c>
      <c r="E580" s="1462"/>
      <c r="O580" s="1541">
        <f t="shared" si="17"/>
        <v>0</v>
      </c>
      <c r="P580" s="1541">
        <f t="shared" si="17"/>
        <v>26012</v>
      </c>
      <c r="Q580" s="1541">
        <f t="shared" si="17"/>
        <v>26012</v>
      </c>
      <c r="R580" s="1541">
        <f t="shared" si="17"/>
        <v>0</v>
      </c>
    </row>
    <row r="581" spans="1:18" x14ac:dyDescent="0.3">
      <c r="A581" s="1855" t="s">
        <v>2786</v>
      </c>
      <c r="B581" s="1462"/>
      <c r="C581" s="1456">
        <v>646</v>
      </c>
      <c r="D581" s="1456">
        <v>646</v>
      </c>
      <c r="E581" s="1462"/>
      <c r="O581" s="1541">
        <f t="shared" si="17"/>
        <v>0</v>
      </c>
      <c r="P581" s="1541">
        <f t="shared" si="17"/>
        <v>646</v>
      </c>
      <c r="Q581" s="1541">
        <f t="shared" si="17"/>
        <v>646</v>
      </c>
      <c r="R581" s="1541">
        <f t="shared" si="17"/>
        <v>0</v>
      </c>
    </row>
    <row r="582" spans="1:18" x14ac:dyDescent="0.3">
      <c r="A582" s="1855" t="s">
        <v>2787</v>
      </c>
      <c r="B582" s="1462"/>
      <c r="C582" s="1456">
        <v>1790</v>
      </c>
      <c r="D582" s="1456">
        <v>1790</v>
      </c>
      <c r="E582" s="1462"/>
      <c r="O582" s="1541">
        <f t="shared" si="17"/>
        <v>0</v>
      </c>
      <c r="P582" s="1541">
        <f t="shared" si="17"/>
        <v>1790</v>
      </c>
      <c r="Q582" s="1541">
        <f t="shared" si="17"/>
        <v>1790</v>
      </c>
      <c r="R582" s="1541">
        <f t="shared" si="17"/>
        <v>0</v>
      </c>
    </row>
    <row r="583" spans="1:18" x14ac:dyDescent="0.3">
      <c r="A583" s="1852" t="s">
        <v>2788</v>
      </c>
      <c r="B583" s="1462"/>
      <c r="C583" s="1456">
        <v>280</v>
      </c>
      <c r="D583" s="1456">
        <v>280</v>
      </c>
      <c r="E583" s="1462"/>
      <c r="O583" s="1541">
        <f t="shared" si="17"/>
        <v>0</v>
      </c>
      <c r="P583" s="1541">
        <f t="shared" si="17"/>
        <v>280</v>
      </c>
      <c r="Q583" s="1541">
        <f t="shared" si="17"/>
        <v>280</v>
      </c>
      <c r="R583" s="1541">
        <f t="shared" si="17"/>
        <v>0</v>
      </c>
    </row>
    <row r="584" spans="1:18" x14ac:dyDescent="0.3">
      <c r="A584" s="1852" t="s">
        <v>2789</v>
      </c>
      <c r="B584" s="1462"/>
      <c r="C584" s="1456">
        <v>192212</v>
      </c>
      <c r="D584" s="1456">
        <v>191212</v>
      </c>
      <c r="E584" s="1896">
        <v>1000</v>
      </c>
      <c r="O584" s="1541">
        <f t="shared" si="17"/>
        <v>0</v>
      </c>
      <c r="P584" s="1541">
        <f t="shared" si="17"/>
        <v>192212</v>
      </c>
      <c r="Q584" s="1541">
        <f t="shared" si="17"/>
        <v>191212</v>
      </c>
      <c r="R584" s="1541">
        <f t="shared" si="17"/>
        <v>1000</v>
      </c>
    </row>
    <row r="585" spans="1:18" x14ac:dyDescent="0.3">
      <c r="A585" s="1852" t="s">
        <v>2790</v>
      </c>
      <c r="B585" s="1462"/>
      <c r="C585" s="1456">
        <v>5820</v>
      </c>
      <c r="D585" s="1456">
        <v>5820</v>
      </c>
      <c r="E585" s="1462"/>
      <c r="O585" s="1541">
        <f t="shared" si="17"/>
        <v>0</v>
      </c>
      <c r="P585" s="1541">
        <f t="shared" si="17"/>
        <v>5820</v>
      </c>
      <c r="Q585" s="1541">
        <f t="shared" si="17"/>
        <v>5820</v>
      </c>
      <c r="R585" s="1541">
        <f t="shared" si="17"/>
        <v>0</v>
      </c>
    </row>
    <row r="586" spans="1:18" x14ac:dyDescent="0.3">
      <c r="A586" s="1855" t="s">
        <v>2791</v>
      </c>
      <c r="B586" s="1462"/>
      <c r="C586" s="1456">
        <v>80600</v>
      </c>
      <c r="D586" s="1456">
        <v>80600</v>
      </c>
      <c r="E586" s="1462"/>
      <c r="O586" s="1541">
        <f t="shared" si="17"/>
        <v>0</v>
      </c>
      <c r="P586" s="1541">
        <f t="shared" si="17"/>
        <v>80600</v>
      </c>
      <c r="Q586" s="1541">
        <f t="shared" si="17"/>
        <v>80600</v>
      </c>
      <c r="R586" s="1541">
        <f t="shared" si="17"/>
        <v>0</v>
      </c>
    </row>
    <row r="587" spans="1:18" x14ac:dyDescent="0.3">
      <c r="A587" s="1852" t="s">
        <v>2792</v>
      </c>
      <c r="B587" s="1462"/>
      <c r="C587" s="1456">
        <v>900</v>
      </c>
      <c r="D587" s="1456">
        <v>900</v>
      </c>
      <c r="E587" s="1462"/>
      <c r="O587" s="1541">
        <f t="shared" si="17"/>
        <v>0</v>
      </c>
      <c r="P587" s="1541">
        <f t="shared" si="17"/>
        <v>900</v>
      </c>
      <c r="Q587" s="1541">
        <f t="shared" si="17"/>
        <v>900</v>
      </c>
      <c r="R587" s="1541">
        <f t="shared" si="17"/>
        <v>0</v>
      </c>
    </row>
    <row r="588" spans="1:18" x14ac:dyDescent="0.3">
      <c r="A588" s="1852" t="s">
        <v>2793</v>
      </c>
      <c r="B588" s="1462"/>
      <c r="C588" s="1456">
        <v>4522</v>
      </c>
      <c r="D588" s="1456">
        <v>4522</v>
      </c>
      <c r="E588" s="1462"/>
      <c r="O588" s="1541">
        <f t="shared" si="17"/>
        <v>0</v>
      </c>
      <c r="P588" s="1541">
        <f t="shared" si="17"/>
        <v>4522</v>
      </c>
      <c r="Q588" s="1541">
        <f t="shared" si="17"/>
        <v>4522</v>
      </c>
      <c r="R588" s="1541">
        <f t="shared" si="17"/>
        <v>0</v>
      </c>
    </row>
    <row r="589" spans="1:18" x14ac:dyDescent="0.3">
      <c r="A589" s="1852" t="s">
        <v>2794</v>
      </c>
      <c r="B589" s="1462"/>
      <c r="C589" s="1456">
        <v>5060</v>
      </c>
      <c r="D589" s="1456">
        <v>5060</v>
      </c>
      <c r="E589" s="1462"/>
      <c r="O589" s="1541">
        <f t="shared" si="17"/>
        <v>0</v>
      </c>
      <c r="P589" s="1541">
        <f t="shared" si="17"/>
        <v>5060</v>
      </c>
      <c r="Q589" s="1541">
        <f t="shared" si="17"/>
        <v>5060</v>
      </c>
      <c r="R589" s="1541">
        <f t="shared" si="17"/>
        <v>0</v>
      </c>
    </row>
    <row r="590" spans="1:18" x14ac:dyDescent="0.3">
      <c r="A590" s="1852" t="s">
        <v>2795</v>
      </c>
      <c r="B590" s="1462"/>
      <c r="C590" s="1456">
        <v>47330</v>
      </c>
      <c r="D590" s="1456">
        <v>35841.980000000003</v>
      </c>
      <c r="E590" s="1896">
        <v>11488.02</v>
      </c>
      <c r="O590" s="1541">
        <f t="shared" si="17"/>
        <v>0</v>
      </c>
      <c r="P590" s="1541">
        <f t="shared" si="17"/>
        <v>47330</v>
      </c>
      <c r="Q590" s="1541">
        <f t="shared" si="17"/>
        <v>35841.980000000003</v>
      </c>
      <c r="R590" s="1541">
        <f t="shared" si="17"/>
        <v>11488.02</v>
      </c>
    </row>
    <row r="591" spans="1:18" x14ac:dyDescent="0.3">
      <c r="A591" s="1852" t="s">
        <v>2796</v>
      </c>
      <c r="B591" s="1462"/>
      <c r="C591" s="1456">
        <v>4097</v>
      </c>
      <c r="D591" s="1456">
        <v>4097</v>
      </c>
      <c r="E591" s="1462"/>
      <c r="O591" s="1541">
        <f t="shared" si="17"/>
        <v>0</v>
      </c>
      <c r="P591" s="1541">
        <f t="shared" si="17"/>
        <v>4097</v>
      </c>
      <c r="Q591" s="1541">
        <f t="shared" si="17"/>
        <v>4097</v>
      </c>
      <c r="R591" s="1541">
        <f t="shared" si="17"/>
        <v>0</v>
      </c>
    </row>
    <row r="592" spans="1:18" x14ac:dyDescent="0.3">
      <c r="A592" s="1852" t="s">
        <v>2797</v>
      </c>
      <c r="B592" s="1462"/>
      <c r="C592" s="1456">
        <v>3838</v>
      </c>
      <c r="D592" s="1456">
        <v>3838</v>
      </c>
      <c r="E592" s="1462"/>
      <c r="O592" s="1541">
        <f t="shared" si="17"/>
        <v>0</v>
      </c>
      <c r="P592" s="1541">
        <f t="shared" si="17"/>
        <v>3838</v>
      </c>
      <c r="Q592" s="1541">
        <f t="shared" si="17"/>
        <v>3838</v>
      </c>
      <c r="R592" s="1541">
        <f t="shared" si="17"/>
        <v>0</v>
      </c>
    </row>
    <row r="593" spans="1:18" x14ac:dyDescent="0.3">
      <c r="A593" s="1852" t="s">
        <v>2798</v>
      </c>
      <c r="B593" s="1462"/>
      <c r="C593" s="1456">
        <v>936.01</v>
      </c>
      <c r="D593" s="1456">
        <v>936</v>
      </c>
      <c r="E593" s="1896">
        <v>0.01</v>
      </c>
      <c r="O593" s="1541">
        <f t="shared" si="17"/>
        <v>0</v>
      </c>
      <c r="P593" s="1541">
        <f t="shared" si="17"/>
        <v>936.01</v>
      </c>
      <c r="Q593" s="1541">
        <f t="shared" si="17"/>
        <v>936</v>
      </c>
      <c r="R593" s="1541">
        <f t="shared" si="17"/>
        <v>0.01</v>
      </c>
    </row>
    <row r="594" spans="1:18" x14ac:dyDescent="0.3">
      <c r="A594" s="1852" t="s">
        <v>2799</v>
      </c>
      <c r="B594" s="1462"/>
      <c r="C594" s="1456">
        <v>292180</v>
      </c>
      <c r="D594" s="1456">
        <v>292180</v>
      </c>
      <c r="E594" s="1462"/>
      <c r="O594" s="1541">
        <f t="shared" si="17"/>
        <v>0</v>
      </c>
      <c r="P594" s="1541">
        <f t="shared" si="17"/>
        <v>292180</v>
      </c>
      <c r="Q594" s="1541">
        <f t="shared" si="17"/>
        <v>292180</v>
      </c>
      <c r="R594" s="1541">
        <f t="shared" si="17"/>
        <v>0</v>
      </c>
    </row>
    <row r="595" spans="1:18" x14ac:dyDescent="0.3">
      <c r="A595" s="1852" t="s">
        <v>2800</v>
      </c>
      <c r="B595" s="1462"/>
      <c r="C595" s="1456">
        <v>33850</v>
      </c>
      <c r="D595" s="1456">
        <v>33850</v>
      </c>
      <c r="E595" s="1462"/>
      <c r="O595" s="1541">
        <f t="shared" si="17"/>
        <v>0</v>
      </c>
      <c r="P595" s="1541">
        <f t="shared" si="17"/>
        <v>33850</v>
      </c>
      <c r="Q595" s="1541">
        <f t="shared" si="17"/>
        <v>33850</v>
      </c>
      <c r="R595" s="1541">
        <f t="shared" si="17"/>
        <v>0</v>
      </c>
    </row>
    <row r="596" spans="1:18" x14ac:dyDescent="0.3">
      <c r="A596" s="1852" t="s">
        <v>2801</v>
      </c>
      <c r="B596" s="1462"/>
      <c r="C596" s="1456">
        <v>18148</v>
      </c>
      <c r="D596" s="1456">
        <v>18148</v>
      </c>
      <c r="E596" s="1462"/>
      <c r="O596" s="1541">
        <f t="shared" si="17"/>
        <v>0</v>
      </c>
      <c r="P596" s="1541">
        <f t="shared" si="17"/>
        <v>18148</v>
      </c>
      <c r="Q596" s="1541">
        <f t="shared" si="17"/>
        <v>18148</v>
      </c>
      <c r="R596" s="1541">
        <f t="shared" si="17"/>
        <v>0</v>
      </c>
    </row>
    <row r="597" spans="1:18" x14ac:dyDescent="0.3">
      <c r="A597" s="1852" t="s">
        <v>2802</v>
      </c>
      <c r="B597" s="1462"/>
      <c r="C597" s="1456">
        <v>8950</v>
      </c>
      <c r="D597" s="1456">
        <v>8950</v>
      </c>
      <c r="E597" s="1462"/>
      <c r="O597" s="1541">
        <f t="shared" si="17"/>
        <v>0</v>
      </c>
      <c r="P597" s="1541">
        <f t="shared" si="17"/>
        <v>8950</v>
      </c>
      <c r="Q597" s="1541">
        <f t="shared" si="17"/>
        <v>8950</v>
      </c>
      <c r="R597" s="1541">
        <f t="shared" si="17"/>
        <v>0</v>
      </c>
    </row>
    <row r="598" spans="1:18" x14ac:dyDescent="0.3">
      <c r="A598" s="1852" t="s">
        <v>2803</v>
      </c>
      <c r="B598" s="1462"/>
      <c r="C598" s="1456">
        <v>306</v>
      </c>
      <c r="D598" s="1456">
        <v>306</v>
      </c>
      <c r="E598" s="1462"/>
      <c r="O598" s="1541">
        <f t="shared" si="17"/>
        <v>0</v>
      </c>
      <c r="P598" s="1541">
        <f t="shared" si="17"/>
        <v>306</v>
      </c>
      <c r="Q598" s="1541">
        <f t="shared" si="17"/>
        <v>306</v>
      </c>
      <c r="R598" s="1541">
        <f t="shared" si="17"/>
        <v>0</v>
      </c>
    </row>
    <row r="599" spans="1:18" x14ac:dyDescent="0.3">
      <c r="A599" s="1852" t="s">
        <v>2804</v>
      </c>
      <c r="B599" s="1462"/>
      <c r="C599" s="1456">
        <v>332</v>
      </c>
      <c r="D599" s="1456">
        <v>332</v>
      </c>
      <c r="E599" s="1462"/>
      <c r="O599" s="1541">
        <f t="shared" si="17"/>
        <v>0</v>
      </c>
      <c r="P599" s="1541">
        <f t="shared" si="17"/>
        <v>332</v>
      </c>
      <c r="Q599" s="1541">
        <f t="shared" si="17"/>
        <v>332</v>
      </c>
      <c r="R599" s="1541">
        <f t="shared" si="17"/>
        <v>0</v>
      </c>
    </row>
    <row r="600" spans="1:18" x14ac:dyDescent="0.3">
      <c r="A600" s="1852" t="s">
        <v>2805</v>
      </c>
      <c r="B600" s="1462"/>
      <c r="C600" s="1456">
        <v>3636</v>
      </c>
      <c r="D600" s="1456">
        <v>3636</v>
      </c>
      <c r="E600" s="1462"/>
      <c r="O600" s="1541">
        <f t="shared" si="17"/>
        <v>0</v>
      </c>
      <c r="P600" s="1541">
        <f t="shared" si="17"/>
        <v>3636</v>
      </c>
      <c r="Q600" s="1541">
        <f t="shared" si="17"/>
        <v>3636</v>
      </c>
      <c r="R600" s="1541">
        <f t="shared" si="17"/>
        <v>0</v>
      </c>
    </row>
    <row r="601" spans="1:18" x14ac:dyDescent="0.3">
      <c r="A601" s="1852" t="s">
        <v>2806</v>
      </c>
      <c r="B601" s="1462"/>
      <c r="C601" s="1456">
        <v>830</v>
      </c>
      <c r="D601" s="1456">
        <v>830</v>
      </c>
      <c r="E601" s="1462"/>
      <c r="O601" s="1541">
        <f t="shared" si="17"/>
        <v>0</v>
      </c>
      <c r="P601" s="1541">
        <f t="shared" si="17"/>
        <v>830</v>
      </c>
      <c r="Q601" s="1541">
        <f t="shared" si="17"/>
        <v>830</v>
      </c>
      <c r="R601" s="1541">
        <f t="shared" si="17"/>
        <v>0</v>
      </c>
    </row>
    <row r="602" spans="1:18" x14ac:dyDescent="0.3">
      <c r="A602" s="1852" t="s">
        <v>2807</v>
      </c>
      <c r="B602" s="1462"/>
      <c r="C602" s="1456">
        <v>2082.0100000000002</v>
      </c>
      <c r="D602" s="1456">
        <v>2082</v>
      </c>
      <c r="E602" s="1896">
        <v>0.01</v>
      </c>
      <c r="O602" s="1541">
        <f t="shared" si="17"/>
        <v>0</v>
      </c>
      <c r="P602" s="1541">
        <f t="shared" si="17"/>
        <v>2082.0100000000002</v>
      </c>
      <c r="Q602" s="1541">
        <f t="shared" si="17"/>
        <v>2082</v>
      </c>
      <c r="R602" s="1541">
        <f t="shared" si="17"/>
        <v>0.01</v>
      </c>
    </row>
    <row r="603" spans="1:18" x14ac:dyDescent="0.3">
      <c r="A603" s="1852" t="s">
        <v>2808</v>
      </c>
      <c r="B603" s="1462"/>
      <c r="C603" s="1456">
        <v>600</v>
      </c>
      <c r="D603" s="1456">
        <v>600</v>
      </c>
      <c r="E603" s="1462"/>
      <c r="O603" s="1541">
        <f t="shared" si="17"/>
        <v>0</v>
      </c>
      <c r="P603" s="1541">
        <f t="shared" si="17"/>
        <v>600</v>
      </c>
      <c r="Q603" s="1541">
        <f t="shared" si="17"/>
        <v>600</v>
      </c>
      <c r="R603" s="1541">
        <f t="shared" si="17"/>
        <v>0</v>
      </c>
    </row>
    <row r="604" spans="1:18" x14ac:dyDescent="0.3">
      <c r="A604" s="1855" t="s">
        <v>2809</v>
      </c>
      <c r="B604" s="1462"/>
      <c r="C604" s="1456">
        <v>79860</v>
      </c>
      <c r="D604" s="1456">
        <v>79860</v>
      </c>
      <c r="E604" s="1462"/>
      <c r="O604" s="1541">
        <f t="shared" si="17"/>
        <v>0</v>
      </c>
      <c r="P604" s="1541">
        <f t="shared" si="17"/>
        <v>79860</v>
      </c>
      <c r="Q604" s="1541">
        <f t="shared" si="17"/>
        <v>79860</v>
      </c>
      <c r="R604" s="1541">
        <f t="shared" si="17"/>
        <v>0</v>
      </c>
    </row>
    <row r="605" spans="1:18" x14ac:dyDescent="0.3">
      <c r="A605" s="1852" t="s">
        <v>2810</v>
      </c>
      <c r="B605" s="1462"/>
      <c r="C605" s="1456">
        <v>5480</v>
      </c>
      <c r="D605" s="1456">
        <v>5480</v>
      </c>
      <c r="E605" s="1462"/>
      <c r="O605" s="1541">
        <f t="shared" si="17"/>
        <v>0</v>
      </c>
      <c r="P605" s="1541">
        <f t="shared" si="17"/>
        <v>5480</v>
      </c>
      <c r="Q605" s="1541">
        <f t="shared" si="17"/>
        <v>5480</v>
      </c>
      <c r="R605" s="1541">
        <f t="shared" si="17"/>
        <v>0</v>
      </c>
    </row>
    <row r="606" spans="1:18" x14ac:dyDescent="0.3">
      <c r="A606" s="1852" t="s">
        <v>2811</v>
      </c>
      <c r="B606" s="1462"/>
      <c r="C606" s="1456">
        <v>700</v>
      </c>
      <c r="D606" s="1456">
        <v>700</v>
      </c>
      <c r="E606" s="1462"/>
      <c r="O606" s="1541">
        <f t="shared" si="17"/>
        <v>0</v>
      </c>
      <c r="P606" s="1541">
        <f t="shared" si="17"/>
        <v>700</v>
      </c>
      <c r="Q606" s="1541">
        <f t="shared" si="17"/>
        <v>700</v>
      </c>
      <c r="R606" s="1541">
        <f t="shared" si="17"/>
        <v>0</v>
      </c>
    </row>
    <row r="607" spans="1:18" x14ac:dyDescent="0.3">
      <c r="A607" s="1852" t="s">
        <v>2812</v>
      </c>
      <c r="B607" s="1462"/>
      <c r="C607" s="1456">
        <v>2720</v>
      </c>
      <c r="D607" s="1456">
        <v>2720</v>
      </c>
      <c r="E607" s="1462"/>
      <c r="O607" s="1541">
        <f t="shared" si="17"/>
        <v>0</v>
      </c>
      <c r="P607" s="1541">
        <f t="shared" si="17"/>
        <v>2720</v>
      </c>
      <c r="Q607" s="1541">
        <f t="shared" si="17"/>
        <v>2720</v>
      </c>
      <c r="R607" s="1541">
        <f t="shared" si="17"/>
        <v>0</v>
      </c>
    </row>
    <row r="608" spans="1:18" x14ac:dyDescent="0.3">
      <c r="A608" s="1852" t="s">
        <v>2813</v>
      </c>
      <c r="B608" s="1462"/>
      <c r="C608" s="1456">
        <v>306</v>
      </c>
      <c r="D608" s="1456">
        <v>306</v>
      </c>
      <c r="E608" s="1462"/>
      <c r="O608" s="1541">
        <f t="shared" si="17"/>
        <v>0</v>
      </c>
      <c r="P608" s="1541">
        <f t="shared" si="17"/>
        <v>306</v>
      </c>
      <c r="Q608" s="1541">
        <f t="shared" si="17"/>
        <v>306</v>
      </c>
      <c r="R608" s="1541">
        <f t="shared" si="17"/>
        <v>0</v>
      </c>
    </row>
    <row r="609" spans="1:18" x14ac:dyDescent="0.3">
      <c r="A609" s="1852" t="s">
        <v>2814</v>
      </c>
      <c r="B609" s="1462"/>
      <c r="C609" s="1456">
        <v>3880</v>
      </c>
      <c r="D609" s="1456">
        <v>3880</v>
      </c>
      <c r="E609" s="1462"/>
      <c r="O609" s="1541">
        <f t="shared" si="17"/>
        <v>0</v>
      </c>
      <c r="P609" s="1541">
        <f t="shared" si="17"/>
        <v>3880</v>
      </c>
      <c r="Q609" s="1541">
        <f t="shared" si="17"/>
        <v>3880</v>
      </c>
      <c r="R609" s="1541">
        <f t="shared" si="17"/>
        <v>0</v>
      </c>
    </row>
    <row r="610" spans="1:18" x14ac:dyDescent="0.3">
      <c r="A610" s="1852" t="s">
        <v>2815</v>
      </c>
      <c r="B610" s="1462"/>
      <c r="C610" s="1456">
        <v>320</v>
      </c>
      <c r="D610" s="1456">
        <v>320</v>
      </c>
      <c r="E610" s="1462"/>
      <c r="O610" s="1541">
        <f t="shared" si="17"/>
        <v>0</v>
      </c>
      <c r="P610" s="1541">
        <f t="shared" si="17"/>
        <v>320</v>
      </c>
      <c r="Q610" s="1541">
        <f t="shared" si="17"/>
        <v>320</v>
      </c>
      <c r="R610" s="1541">
        <f t="shared" si="17"/>
        <v>0</v>
      </c>
    </row>
    <row r="611" spans="1:18" x14ac:dyDescent="0.3">
      <c r="A611" s="1852" t="s">
        <v>2816</v>
      </c>
      <c r="B611" s="1462"/>
      <c r="C611" s="1456">
        <v>950</v>
      </c>
      <c r="D611" s="1456">
        <v>950</v>
      </c>
      <c r="E611" s="1462"/>
      <c r="O611" s="1541">
        <f t="shared" si="17"/>
        <v>0</v>
      </c>
      <c r="P611" s="1541">
        <f t="shared" si="17"/>
        <v>950</v>
      </c>
      <c r="Q611" s="1541">
        <f t="shared" si="17"/>
        <v>950</v>
      </c>
      <c r="R611" s="1541">
        <f t="shared" si="17"/>
        <v>0</v>
      </c>
    </row>
    <row r="612" spans="1:18" x14ac:dyDescent="0.3">
      <c r="A612" s="1852" t="s">
        <v>2817</v>
      </c>
      <c r="B612" s="1462"/>
      <c r="C612" s="1456">
        <v>1330</v>
      </c>
      <c r="D612" s="1456">
        <v>1330</v>
      </c>
      <c r="E612" s="1462"/>
      <c r="O612" s="1541">
        <f t="shared" si="17"/>
        <v>0</v>
      </c>
      <c r="P612" s="1541">
        <f t="shared" si="17"/>
        <v>1330</v>
      </c>
      <c r="Q612" s="1541">
        <f t="shared" si="17"/>
        <v>1330</v>
      </c>
      <c r="R612" s="1541">
        <f t="shared" si="17"/>
        <v>0</v>
      </c>
    </row>
    <row r="613" spans="1:18" x14ac:dyDescent="0.3">
      <c r="A613" s="1852" t="s">
        <v>2818</v>
      </c>
      <c r="B613" s="1462"/>
      <c r="C613" s="1456">
        <v>190</v>
      </c>
      <c r="D613" s="1456">
        <v>190</v>
      </c>
      <c r="E613" s="1462"/>
      <c r="O613" s="1541">
        <f t="shared" si="17"/>
        <v>0</v>
      </c>
      <c r="P613" s="1541">
        <f t="shared" si="17"/>
        <v>190</v>
      </c>
      <c r="Q613" s="1541">
        <f t="shared" si="17"/>
        <v>190</v>
      </c>
      <c r="R613" s="1541">
        <f t="shared" si="17"/>
        <v>0</v>
      </c>
    </row>
    <row r="614" spans="1:18" x14ac:dyDescent="0.3">
      <c r="A614" s="1852" t="s">
        <v>2819</v>
      </c>
      <c r="B614" s="1462"/>
      <c r="C614" s="1456">
        <v>200</v>
      </c>
      <c r="D614" s="1456">
        <v>200</v>
      </c>
      <c r="E614" s="1462"/>
      <c r="O614" s="1541">
        <f t="shared" si="17"/>
        <v>0</v>
      </c>
      <c r="P614" s="1541">
        <f t="shared" si="17"/>
        <v>200</v>
      </c>
      <c r="Q614" s="1541">
        <f t="shared" si="17"/>
        <v>200</v>
      </c>
      <c r="R614" s="1541">
        <f t="shared" si="17"/>
        <v>0</v>
      </c>
    </row>
    <row r="615" spans="1:18" x14ac:dyDescent="0.3">
      <c r="A615" s="1852" t="s">
        <v>2820</v>
      </c>
      <c r="B615" s="1462"/>
      <c r="C615" s="1456">
        <v>400</v>
      </c>
      <c r="D615" s="1456">
        <v>400</v>
      </c>
      <c r="E615" s="1462"/>
      <c r="O615" s="1541">
        <f t="shared" si="17"/>
        <v>0</v>
      </c>
      <c r="P615" s="1541">
        <f t="shared" si="17"/>
        <v>400</v>
      </c>
      <c r="Q615" s="1541">
        <f t="shared" si="17"/>
        <v>400</v>
      </c>
      <c r="R615" s="1541">
        <f t="shared" si="17"/>
        <v>0</v>
      </c>
    </row>
    <row r="616" spans="1:18" x14ac:dyDescent="0.3">
      <c r="A616" s="1852" t="s">
        <v>2821</v>
      </c>
      <c r="B616" s="1462"/>
      <c r="C616" s="1456">
        <v>5388.01</v>
      </c>
      <c r="D616" s="1456">
        <v>5388</v>
      </c>
      <c r="E616" s="1896">
        <v>0.01</v>
      </c>
      <c r="O616" s="1541">
        <f t="shared" si="17"/>
        <v>0</v>
      </c>
      <c r="P616" s="1541">
        <f t="shared" si="17"/>
        <v>5388.01</v>
      </c>
      <c r="Q616" s="1541">
        <f t="shared" si="17"/>
        <v>5388</v>
      </c>
      <c r="R616" s="1541">
        <f t="shared" si="17"/>
        <v>0.01</v>
      </c>
    </row>
    <row r="617" spans="1:18" x14ac:dyDescent="0.3">
      <c r="A617" s="1855" t="s">
        <v>2822</v>
      </c>
      <c r="B617" s="1462"/>
      <c r="C617" s="1456">
        <v>1744</v>
      </c>
      <c r="D617" s="1456">
        <v>1744</v>
      </c>
      <c r="E617" s="1462"/>
      <c r="O617" s="1541">
        <f t="shared" si="17"/>
        <v>0</v>
      </c>
      <c r="P617" s="1541">
        <f t="shared" si="17"/>
        <v>1744</v>
      </c>
      <c r="Q617" s="1541">
        <f t="shared" si="17"/>
        <v>1744</v>
      </c>
      <c r="R617" s="1541">
        <f t="shared" si="17"/>
        <v>0</v>
      </c>
    </row>
    <row r="618" spans="1:18" x14ac:dyDescent="0.3">
      <c r="A618" s="1852" t="s">
        <v>2823</v>
      </c>
      <c r="B618" s="1462"/>
      <c r="C618" s="1456">
        <v>2816</v>
      </c>
      <c r="D618" s="1456">
        <v>2816</v>
      </c>
      <c r="E618" s="1462"/>
      <c r="O618" s="1541">
        <f t="shared" si="17"/>
        <v>0</v>
      </c>
      <c r="P618" s="1541">
        <f t="shared" si="17"/>
        <v>2816</v>
      </c>
      <c r="Q618" s="1541">
        <f t="shared" si="17"/>
        <v>2816</v>
      </c>
      <c r="R618" s="1541">
        <f t="shared" si="17"/>
        <v>0</v>
      </c>
    </row>
    <row r="619" spans="1:18" x14ac:dyDescent="0.3">
      <c r="A619" s="1852" t="s">
        <v>2824</v>
      </c>
      <c r="B619" s="1462"/>
      <c r="C619" s="1456">
        <v>5680</v>
      </c>
      <c r="D619" s="1456">
        <v>5680</v>
      </c>
      <c r="E619" s="1462"/>
      <c r="O619" s="1541">
        <f t="shared" si="17"/>
        <v>0</v>
      </c>
      <c r="P619" s="1541">
        <f t="shared" si="17"/>
        <v>5680</v>
      </c>
      <c r="Q619" s="1541">
        <f t="shared" si="17"/>
        <v>5680</v>
      </c>
      <c r="R619" s="1541">
        <f t="shared" si="17"/>
        <v>0</v>
      </c>
    </row>
    <row r="620" spans="1:18" x14ac:dyDescent="0.3">
      <c r="A620" s="1855" t="s">
        <v>2825</v>
      </c>
      <c r="B620" s="1462"/>
      <c r="C620" s="1456">
        <v>13260</v>
      </c>
      <c r="D620" s="1456">
        <v>13260</v>
      </c>
      <c r="E620" s="1462"/>
      <c r="O620" s="1541">
        <f t="shared" si="17"/>
        <v>0</v>
      </c>
      <c r="P620" s="1541">
        <f t="shared" si="17"/>
        <v>13260</v>
      </c>
      <c r="Q620" s="1541">
        <f t="shared" si="17"/>
        <v>13260</v>
      </c>
      <c r="R620" s="1541">
        <f t="shared" si="17"/>
        <v>0</v>
      </c>
    </row>
    <row r="621" spans="1:18" x14ac:dyDescent="0.3">
      <c r="A621" s="1852" t="s">
        <v>2826</v>
      </c>
      <c r="B621" s="1462"/>
      <c r="C621" s="1456">
        <v>39175</v>
      </c>
      <c r="D621" s="1456">
        <v>39175</v>
      </c>
      <c r="E621" s="1462"/>
      <c r="O621" s="1541">
        <f t="shared" si="17"/>
        <v>0</v>
      </c>
      <c r="P621" s="1541">
        <f t="shared" si="17"/>
        <v>39175</v>
      </c>
      <c r="Q621" s="1541">
        <f t="shared" si="17"/>
        <v>39175</v>
      </c>
      <c r="R621" s="1541">
        <f t="shared" si="17"/>
        <v>0</v>
      </c>
    </row>
    <row r="622" spans="1:18" x14ac:dyDescent="0.3">
      <c r="A622" s="1852" t="s">
        <v>2827</v>
      </c>
      <c r="B622" s="1462"/>
      <c r="C622" s="1456">
        <v>630.01</v>
      </c>
      <c r="D622" s="1456">
        <v>630</v>
      </c>
      <c r="E622" s="1896">
        <v>0.01</v>
      </c>
      <c r="O622" s="1541">
        <f t="shared" si="17"/>
        <v>0</v>
      </c>
      <c r="P622" s="1541">
        <f t="shared" si="17"/>
        <v>630.01</v>
      </c>
      <c r="Q622" s="1541">
        <f t="shared" si="17"/>
        <v>630</v>
      </c>
      <c r="R622" s="1541">
        <f t="shared" ref="R622:R685" si="18">E622+L622</f>
        <v>0.01</v>
      </c>
    </row>
    <row r="623" spans="1:18" x14ac:dyDescent="0.3">
      <c r="A623" s="1855" t="s">
        <v>2828</v>
      </c>
      <c r="B623" s="1462"/>
      <c r="C623" s="1456">
        <v>101057</v>
      </c>
      <c r="D623" s="1456">
        <v>101057</v>
      </c>
      <c r="E623" s="1462"/>
      <c r="O623" s="1541">
        <f t="shared" ref="O623:R686" si="19">B623+I623</f>
        <v>0</v>
      </c>
      <c r="P623" s="1541">
        <f t="shared" si="19"/>
        <v>101057</v>
      </c>
      <c r="Q623" s="1541">
        <f t="shared" si="19"/>
        <v>101057</v>
      </c>
      <c r="R623" s="1541">
        <f t="shared" si="18"/>
        <v>0</v>
      </c>
    </row>
    <row r="624" spans="1:18" x14ac:dyDescent="0.3">
      <c r="A624" s="1852" t="s">
        <v>2829</v>
      </c>
      <c r="B624" s="1462"/>
      <c r="C624" s="1456">
        <v>600</v>
      </c>
      <c r="D624" s="1456">
        <v>600</v>
      </c>
      <c r="E624" s="1462"/>
      <c r="O624" s="1541">
        <f t="shared" si="19"/>
        <v>0</v>
      </c>
      <c r="P624" s="1541">
        <f t="shared" si="19"/>
        <v>600</v>
      </c>
      <c r="Q624" s="1541">
        <f t="shared" si="19"/>
        <v>600</v>
      </c>
      <c r="R624" s="1541">
        <f t="shared" si="18"/>
        <v>0</v>
      </c>
    </row>
    <row r="625" spans="1:18" x14ac:dyDescent="0.3">
      <c r="A625" s="1852" t="s">
        <v>2830</v>
      </c>
      <c r="B625" s="1462"/>
      <c r="C625" s="1456">
        <v>33620</v>
      </c>
      <c r="D625" s="1456">
        <v>34619.949999999997</v>
      </c>
      <c r="E625" s="1471">
        <v>-999.95</v>
      </c>
      <c r="O625" s="1541">
        <f t="shared" si="19"/>
        <v>0</v>
      </c>
      <c r="P625" s="1541">
        <f t="shared" si="19"/>
        <v>33620</v>
      </c>
      <c r="Q625" s="1541">
        <f t="shared" si="19"/>
        <v>34619.949999999997</v>
      </c>
      <c r="R625" s="1541">
        <f t="shared" si="18"/>
        <v>-999.95</v>
      </c>
    </row>
    <row r="626" spans="1:18" x14ac:dyDescent="0.3">
      <c r="A626" s="1852" t="s">
        <v>2831</v>
      </c>
      <c r="B626" s="1462"/>
      <c r="C626" s="1456">
        <v>1362</v>
      </c>
      <c r="D626" s="1456">
        <v>1362</v>
      </c>
      <c r="E626" s="1462"/>
      <c r="O626" s="1541">
        <f t="shared" si="19"/>
        <v>0</v>
      </c>
      <c r="P626" s="1541">
        <f t="shared" si="19"/>
        <v>1362</v>
      </c>
      <c r="Q626" s="1541">
        <f t="shared" si="19"/>
        <v>1362</v>
      </c>
      <c r="R626" s="1541">
        <f t="shared" si="18"/>
        <v>0</v>
      </c>
    </row>
    <row r="627" spans="1:18" x14ac:dyDescent="0.3">
      <c r="A627" s="1852" t="s">
        <v>2832</v>
      </c>
      <c r="B627" s="1462"/>
      <c r="C627" s="1456">
        <v>520</v>
      </c>
      <c r="D627" s="1456">
        <v>520</v>
      </c>
      <c r="E627" s="1462"/>
      <c r="O627" s="1541">
        <f t="shared" si="19"/>
        <v>0</v>
      </c>
      <c r="P627" s="1541">
        <f t="shared" si="19"/>
        <v>520</v>
      </c>
      <c r="Q627" s="1541">
        <f t="shared" si="19"/>
        <v>520</v>
      </c>
      <c r="R627" s="1541">
        <f t="shared" si="18"/>
        <v>0</v>
      </c>
    </row>
    <row r="628" spans="1:18" x14ac:dyDescent="0.3">
      <c r="A628" s="1852" t="s">
        <v>2833</v>
      </c>
      <c r="B628" s="1462"/>
      <c r="C628" s="1456">
        <v>12524</v>
      </c>
      <c r="D628" s="1456">
        <v>12524</v>
      </c>
      <c r="E628" s="1462"/>
      <c r="O628" s="1541">
        <f t="shared" si="19"/>
        <v>0</v>
      </c>
      <c r="P628" s="1541">
        <f t="shared" si="19"/>
        <v>12524</v>
      </c>
      <c r="Q628" s="1541">
        <f t="shared" si="19"/>
        <v>12524</v>
      </c>
      <c r="R628" s="1541">
        <f t="shared" si="18"/>
        <v>0</v>
      </c>
    </row>
    <row r="629" spans="1:18" x14ac:dyDescent="0.3">
      <c r="A629" s="1852" t="s">
        <v>2834</v>
      </c>
      <c r="B629" s="1462"/>
      <c r="C629" s="1456">
        <v>2760</v>
      </c>
      <c r="D629" s="1456">
        <v>2760</v>
      </c>
      <c r="E629" s="1462"/>
      <c r="O629" s="1541">
        <f t="shared" si="19"/>
        <v>0</v>
      </c>
      <c r="P629" s="1541">
        <f t="shared" si="19"/>
        <v>2760</v>
      </c>
      <c r="Q629" s="1541">
        <f t="shared" si="19"/>
        <v>2760</v>
      </c>
      <c r="R629" s="1541">
        <f t="shared" si="18"/>
        <v>0</v>
      </c>
    </row>
    <row r="630" spans="1:18" x14ac:dyDescent="0.3">
      <c r="A630" s="1855" t="s">
        <v>2835</v>
      </c>
      <c r="B630" s="1462"/>
      <c r="C630" s="1456">
        <v>80750</v>
      </c>
      <c r="D630" s="1456">
        <v>80750</v>
      </c>
      <c r="E630" s="1462"/>
      <c r="O630" s="1541">
        <f t="shared" si="19"/>
        <v>0</v>
      </c>
      <c r="P630" s="1541">
        <f t="shared" si="19"/>
        <v>80750</v>
      </c>
      <c r="Q630" s="1541">
        <f t="shared" si="19"/>
        <v>80750</v>
      </c>
      <c r="R630" s="1541">
        <f t="shared" si="18"/>
        <v>0</v>
      </c>
    </row>
    <row r="631" spans="1:18" x14ac:dyDescent="0.3">
      <c r="A631" s="1852" t="s">
        <v>2836</v>
      </c>
      <c r="B631" s="1462"/>
      <c r="C631" s="1456">
        <v>520</v>
      </c>
      <c r="D631" s="1456">
        <v>520</v>
      </c>
      <c r="E631" s="1462"/>
      <c r="O631" s="1541">
        <f t="shared" si="19"/>
        <v>0</v>
      </c>
      <c r="P631" s="1541">
        <f t="shared" si="19"/>
        <v>520</v>
      </c>
      <c r="Q631" s="1541">
        <f t="shared" si="19"/>
        <v>520</v>
      </c>
      <c r="R631" s="1541">
        <f t="shared" si="18"/>
        <v>0</v>
      </c>
    </row>
    <row r="632" spans="1:18" x14ac:dyDescent="0.3">
      <c r="A632" s="1852" t="s">
        <v>2837</v>
      </c>
      <c r="B632" s="1462"/>
      <c r="C632" s="1456">
        <v>1370</v>
      </c>
      <c r="D632" s="1456">
        <v>1370</v>
      </c>
      <c r="E632" s="1462"/>
      <c r="O632" s="1541">
        <f t="shared" si="19"/>
        <v>0</v>
      </c>
      <c r="P632" s="1541">
        <f t="shared" si="19"/>
        <v>1370</v>
      </c>
      <c r="Q632" s="1541">
        <f t="shared" si="19"/>
        <v>1370</v>
      </c>
      <c r="R632" s="1541">
        <f t="shared" si="18"/>
        <v>0</v>
      </c>
    </row>
    <row r="633" spans="1:18" x14ac:dyDescent="0.3">
      <c r="A633" s="1852" t="s">
        <v>2838</v>
      </c>
      <c r="B633" s="1462"/>
      <c r="C633" s="1456">
        <v>804</v>
      </c>
      <c r="D633" s="1456">
        <v>804</v>
      </c>
      <c r="E633" s="1462"/>
      <c r="O633" s="1541">
        <f t="shared" si="19"/>
        <v>0</v>
      </c>
      <c r="P633" s="1541">
        <f t="shared" si="19"/>
        <v>804</v>
      </c>
      <c r="Q633" s="1541">
        <f t="shared" si="19"/>
        <v>804</v>
      </c>
      <c r="R633" s="1541">
        <f t="shared" si="18"/>
        <v>0</v>
      </c>
    </row>
    <row r="634" spans="1:18" x14ac:dyDescent="0.3">
      <c r="A634" s="1852" t="s">
        <v>2839</v>
      </c>
      <c r="B634" s="1462"/>
      <c r="C634" s="1456">
        <v>380</v>
      </c>
      <c r="D634" s="1456">
        <v>380</v>
      </c>
      <c r="E634" s="1462"/>
      <c r="O634" s="1541">
        <f t="shared" si="19"/>
        <v>0</v>
      </c>
      <c r="P634" s="1541">
        <f t="shared" si="19"/>
        <v>380</v>
      </c>
      <c r="Q634" s="1541">
        <f t="shared" si="19"/>
        <v>380</v>
      </c>
      <c r="R634" s="1541">
        <f t="shared" si="18"/>
        <v>0</v>
      </c>
    </row>
    <row r="635" spans="1:18" x14ac:dyDescent="0.3">
      <c r="A635" s="1852" t="s">
        <v>2840</v>
      </c>
      <c r="B635" s="1462"/>
      <c r="C635" s="1456">
        <v>83594.02</v>
      </c>
      <c r="D635" s="1456">
        <v>83593.990000000005</v>
      </c>
      <c r="E635" s="1896">
        <v>0.03</v>
      </c>
      <c r="O635" s="1541">
        <f t="shared" si="19"/>
        <v>0</v>
      </c>
      <c r="P635" s="1541">
        <f t="shared" si="19"/>
        <v>83594.02</v>
      </c>
      <c r="Q635" s="1541">
        <f t="shared" si="19"/>
        <v>83593.990000000005</v>
      </c>
      <c r="R635" s="1541">
        <f t="shared" si="18"/>
        <v>0.03</v>
      </c>
    </row>
    <row r="636" spans="1:18" x14ac:dyDescent="0.3">
      <c r="A636" s="1852" t="s">
        <v>2841</v>
      </c>
      <c r="B636" s="1462"/>
      <c r="C636" s="1456">
        <v>140</v>
      </c>
      <c r="D636" s="1456">
        <v>140</v>
      </c>
      <c r="E636" s="1462"/>
      <c r="O636" s="1541">
        <f t="shared" si="19"/>
        <v>0</v>
      </c>
      <c r="P636" s="1541">
        <f t="shared" si="19"/>
        <v>140</v>
      </c>
      <c r="Q636" s="1541">
        <f t="shared" si="19"/>
        <v>140</v>
      </c>
      <c r="R636" s="1541">
        <f t="shared" si="18"/>
        <v>0</v>
      </c>
    </row>
    <row r="637" spans="1:18" x14ac:dyDescent="0.3">
      <c r="A637" s="1852" t="s">
        <v>2842</v>
      </c>
      <c r="B637" s="1462"/>
      <c r="C637" s="1456">
        <v>13010</v>
      </c>
      <c r="D637" s="1456">
        <v>13010</v>
      </c>
      <c r="E637" s="1462"/>
      <c r="O637" s="1541">
        <f t="shared" si="19"/>
        <v>0</v>
      </c>
      <c r="P637" s="1541">
        <f t="shared" si="19"/>
        <v>13010</v>
      </c>
      <c r="Q637" s="1541">
        <f t="shared" si="19"/>
        <v>13010</v>
      </c>
      <c r="R637" s="1541">
        <f t="shared" si="18"/>
        <v>0</v>
      </c>
    </row>
    <row r="638" spans="1:18" x14ac:dyDescent="0.3">
      <c r="A638" s="1852" t="s">
        <v>2843</v>
      </c>
      <c r="B638" s="1462"/>
      <c r="C638" s="1456">
        <v>58520</v>
      </c>
      <c r="D638" s="1456">
        <v>58520</v>
      </c>
      <c r="E638" s="1462"/>
      <c r="O638" s="1541">
        <f t="shared" si="19"/>
        <v>0</v>
      </c>
      <c r="P638" s="1541">
        <f t="shared" si="19"/>
        <v>58520</v>
      </c>
      <c r="Q638" s="1541">
        <f t="shared" si="19"/>
        <v>58520</v>
      </c>
      <c r="R638" s="1541">
        <f t="shared" si="18"/>
        <v>0</v>
      </c>
    </row>
    <row r="639" spans="1:18" x14ac:dyDescent="0.3">
      <c r="A639" s="1852" t="s">
        <v>2844</v>
      </c>
      <c r="B639" s="1462"/>
      <c r="C639" s="1456">
        <v>23738</v>
      </c>
      <c r="D639" s="1456">
        <v>23738</v>
      </c>
      <c r="E639" s="1462"/>
      <c r="O639" s="1541">
        <f t="shared" si="19"/>
        <v>0</v>
      </c>
      <c r="P639" s="1541">
        <f t="shared" si="19"/>
        <v>23738</v>
      </c>
      <c r="Q639" s="1541">
        <f t="shared" si="19"/>
        <v>23738</v>
      </c>
      <c r="R639" s="1541">
        <f t="shared" si="18"/>
        <v>0</v>
      </c>
    </row>
    <row r="640" spans="1:18" x14ac:dyDescent="0.3">
      <c r="A640" s="1852" t="s">
        <v>2845</v>
      </c>
      <c r="B640" s="1462"/>
      <c r="C640" s="1456">
        <v>1080</v>
      </c>
      <c r="D640" s="1456">
        <v>1080</v>
      </c>
      <c r="E640" s="1462"/>
      <c r="O640" s="1541">
        <f t="shared" si="19"/>
        <v>0</v>
      </c>
      <c r="P640" s="1541">
        <f t="shared" si="19"/>
        <v>1080</v>
      </c>
      <c r="Q640" s="1541">
        <f t="shared" si="19"/>
        <v>1080</v>
      </c>
      <c r="R640" s="1541">
        <f t="shared" si="18"/>
        <v>0</v>
      </c>
    </row>
    <row r="641" spans="1:18" x14ac:dyDescent="0.3">
      <c r="A641" s="1852" t="s">
        <v>2846</v>
      </c>
      <c r="B641" s="1462"/>
      <c r="C641" s="1456">
        <v>140</v>
      </c>
      <c r="D641" s="1456">
        <v>140</v>
      </c>
      <c r="E641" s="1462"/>
      <c r="O641" s="1541">
        <f t="shared" si="19"/>
        <v>0</v>
      </c>
      <c r="P641" s="1541">
        <f t="shared" si="19"/>
        <v>140</v>
      </c>
      <c r="Q641" s="1541">
        <f t="shared" si="19"/>
        <v>140</v>
      </c>
      <c r="R641" s="1541">
        <f t="shared" si="18"/>
        <v>0</v>
      </c>
    </row>
    <row r="642" spans="1:18" x14ac:dyDescent="0.3">
      <c r="A642" s="1855" t="s">
        <v>2847</v>
      </c>
      <c r="B642" s="1462"/>
      <c r="C642" s="1456">
        <v>27520</v>
      </c>
      <c r="D642" s="1456">
        <v>27520</v>
      </c>
      <c r="E642" s="1462"/>
      <c r="O642" s="1541">
        <f t="shared" si="19"/>
        <v>0</v>
      </c>
      <c r="P642" s="1541">
        <f t="shared" si="19"/>
        <v>27520</v>
      </c>
      <c r="Q642" s="1541">
        <f t="shared" si="19"/>
        <v>27520</v>
      </c>
      <c r="R642" s="1541">
        <f t="shared" si="18"/>
        <v>0</v>
      </c>
    </row>
    <row r="643" spans="1:18" x14ac:dyDescent="0.3">
      <c r="A643" s="1855" t="s">
        <v>2848</v>
      </c>
      <c r="B643" s="1462"/>
      <c r="C643" s="1456">
        <v>1792</v>
      </c>
      <c r="D643" s="1456">
        <v>1792</v>
      </c>
      <c r="E643" s="1462"/>
      <c r="O643" s="1541">
        <f t="shared" si="19"/>
        <v>0</v>
      </c>
      <c r="P643" s="1541">
        <f t="shared" si="19"/>
        <v>1792</v>
      </c>
      <c r="Q643" s="1541">
        <f t="shared" si="19"/>
        <v>1792</v>
      </c>
      <c r="R643" s="1541">
        <f t="shared" si="18"/>
        <v>0</v>
      </c>
    </row>
    <row r="644" spans="1:18" x14ac:dyDescent="0.3">
      <c r="A644" s="1852" t="s">
        <v>2849</v>
      </c>
      <c r="B644" s="1462"/>
      <c r="C644" s="1456">
        <v>1090</v>
      </c>
      <c r="D644" s="1456">
        <v>1090</v>
      </c>
      <c r="E644" s="1462"/>
      <c r="O644" s="1541">
        <f t="shared" si="19"/>
        <v>0</v>
      </c>
      <c r="P644" s="1541">
        <f t="shared" si="19"/>
        <v>1090</v>
      </c>
      <c r="Q644" s="1541">
        <f t="shared" si="19"/>
        <v>1090</v>
      </c>
      <c r="R644" s="1541">
        <f t="shared" si="18"/>
        <v>0</v>
      </c>
    </row>
    <row r="645" spans="1:18" x14ac:dyDescent="0.3">
      <c r="A645" s="1855" t="s">
        <v>2850</v>
      </c>
      <c r="B645" s="1462"/>
      <c r="C645" s="1456">
        <v>200</v>
      </c>
      <c r="D645" s="1456">
        <v>200</v>
      </c>
      <c r="E645" s="1462"/>
      <c r="O645" s="1541">
        <f t="shared" si="19"/>
        <v>0</v>
      </c>
      <c r="P645" s="1541">
        <f t="shared" si="19"/>
        <v>200</v>
      </c>
      <c r="Q645" s="1541">
        <f t="shared" si="19"/>
        <v>200</v>
      </c>
      <c r="R645" s="1541">
        <f t="shared" si="18"/>
        <v>0</v>
      </c>
    </row>
    <row r="646" spans="1:18" x14ac:dyDescent="0.3">
      <c r="A646" s="1852" t="s">
        <v>2851</v>
      </c>
      <c r="B646" s="1462"/>
      <c r="C646" s="1456">
        <v>1456.01</v>
      </c>
      <c r="D646" s="1456">
        <v>1456</v>
      </c>
      <c r="E646" s="1896">
        <v>0.01</v>
      </c>
      <c r="O646" s="1541">
        <f t="shared" si="19"/>
        <v>0</v>
      </c>
      <c r="P646" s="1541">
        <f t="shared" si="19"/>
        <v>1456.01</v>
      </c>
      <c r="Q646" s="1541">
        <f t="shared" si="19"/>
        <v>1456</v>
      </c>
      <c r="R646" s="1541">
        <f t="shared" si="18"/>
        <v>0.01</v>
      </c>
    </row>
    <row r="647" spans="1:18" x14ac:dyDescent="0.3">
      <c r="A647" s="1855" t="s">
        <v>2852</v>
      </c>
      <c r="B647" s="1462"/>
      <c r="C647" s="1456">
        <v>20437</v>
      </c>
      <c r="D647" s="1456">
        <v>20437</v>
      </c>
      <c r="E647" s="1462"/>
      <c r="O647" s="1541">
        <f t="shared" si="19"/>
        <v>0</v>
      </c>
      <c r="P647" s="1541">
        <f t="shared" si="19"/>
        <v>20437</v>
      </c>
      <c r="Q647" s="1541">
        <f t="shared" si="19"/>
        <v>20437</v>
      </c>
      <c r="R647" s="1541">
        <f t="shared" si="18"/>
        <v>0</v>
      </c>
    </row>
    <row r="648" spans="1:18" x14ac:dyDescent="0.3">
      <c r="A648" s="1855" t="s">
        <v>2853</v>
      </c>
      <c r="B648" s="1462"/>
      <c r="C648" s="1456">
        <v>4590</v>
      </c>
      <c r="D648" s="1456">
        <v>4590</v>
      </c>
      <c r="E648" s="1462"/>
      <c r="O648" s="1541">
        <f t="shared" si="19"/>
        <v>0</v>
      </c>
      <c r="P648" s="1541">
        <f t="shared" si="19"/>
        <v>4590</v>
      </c>
      <c r="Q648" s="1541">
        <f t="shared" si="19"/>
        <v>4590</v>
      </c>
      <c r="R648" s="1541">
        <f t="shared" si="18"/>
        <v>0</v>
      </c>
    </row>
    <row r="649" spans="1:18" x14ac:dyDescent="0.3">
      <c r="A649" s="1852" t="s">
        <v>2854</v>
      </c>
      <c r="B649" s="1462"/>
      <c r="C649" s="1456">
        <v>4472</v>
      </c>
      <c r="D649" s="1456">
        <v>4472</v>
      </c>
      <c r="E649" s="1462"/>
      <c r="O649" s="1541">
        <f t="shared" si="19"/>
        <v>0</v>
      </c>
      <c r="P649" s="1541">
        <f t="shared" si="19"/>
        <v>4472</v>
      </c>
      <c r="Q649" s="1541">
        <f t="shared" si="19"/>
        <v>4472</v>
      </c>
      <c r="R649" s="1541">
        <f t="shared" si="18"/>
        <v>0</v>
      </c>
    </row>
    <row r="650" spans="1:18" x14ac:dyDescent="0.3">
      <c r="A650" s="1852" t="s">
        <v>2855</v>
      </c>
      <c r="B650" s="1462"/>
      <c r="C650" s="1456">
        <v>900</v>
      </c>
      <c r="D650" s="1456">
        <v>900</v>
      </c>
      <c r="E650" s="1462"/>
      <c r="O650" s="1541">
        <f t="shared" si="19"/>
        <v>0</v>
      </c>
      <c r="P650" s="1541">
        <f t="shared" si="19"/>
        <v>900</v>
      </c>
      <c r="Q650" s="1541">
        <f t="shared" si="19"/>
        <v>900</v>
      </c>
      <c r="R650" s="1541">
        <f t="shared" si="18"/>
        <v>0</v>
      </c>
    </row>
    <row r="651" spans="1:18" x14ac:dyDescent="0.3">
      <c r="A651" s="1852" t="s">
        <v>2856</v>
      </c>
      <c r="B651" s="1462"/>
      <c r="C651" s="1456">
        <v>140</v>
      </c>
      <c r="D651" s="1456">
        <v>140</v>
      </c>
      <c r="E651" s="1462"/>
      <c r="O651" s="1541">
        <f t="shared" si="19"/>
        <v>0</v>
      </c>
      <c r="P651" s="1541">
        <f t="shared" si="19"/>
        <v>140</v>
      </c>
      <c r="Q651" s="1541">
        <f t="shared" si="19"/>
        <v>140</v>
      </c>
      <c r="R651" s="1541">
        <f t="shared" si="18"/>
        <v>0</v>
      </c>
    </row>
    <row r="652" spans="1:18" x14ac:dyDescent="0.3">
      <c r="A652" s="1852" t="s">
        <v>2857</v>
      </c>
      <c r="B652" s="1462"/>
      <c r="C652" s="1456">
        <v>3692</v>
      </c>
      <c r="D652" s="1456">
        <v>3692</v>
      </c>
      <c r="E652" s="1462"/>
      <c r="O652" s="1541">
        <f t="shared" si="19"/>
        <v>0</v>
      </c>
      <c r="P652" s="1541">
        <f t="shared" si="19"/>
        <v>3692</v>
      </c>
      <c r="Q652" s="1541">
        <f t="shared" si="19"/>
        <v>3692</v>
      </c>
      <c r="R652" s="1541">
        <f t="shared" si="18"/>
        <v>0</v>
      </c>
    </row>
    <row r="653" spans="1:18" x14ac:dyDescent="0.3">
      <c r="A653" s="1852" t="s">
        <v>2858</v>
      </c>
      <c r="B653" s="1462"/>
      <c r="C653" s="1456">
        <v>2800</v>
      </c>
      <c r="D653" s="1456">
        <v>2800</v>
      </c>
      <c r="E653" s="1462"/>
      <c r="O653" s="1541">
        <f t="shared" si="19"/>
        <v>0</v>
      </c>
      <c r="P653" s="1541">
        <f t="shared" si="19"/>
        <v>2800</v>
      </c>
      <c r="Q653" s="1541">
        <f t="shared" si="19"/>
        <v>2800</v>
      </c>
      <c r="R653" s="1541">
        <f t="shared" si="18"/>
        <v>0</v>
      </c>
    </row>
    <row r="654" spans="1:18" x14ac:dyDescent="0.3">
      <c r="A654" s="1852" t="s">
        <v>2859</v>
      </c>
      <c r="B654" s="1462"/>
      <c r="C654" s="1456">
        <v>140</v>
      </c>
      <c r="D654" s="1456">
        <v>140</v>
      </c>
      <c r="E654" s="1462"/>
      <c r="O654" s="1541">
        <f t="shared" si="19"/>
        <v>0</v>
      </c>
      <c r="P654" s="1541">
        <f t="shared" si="19"/>
        <v>140</v>
      </c>
      <c r="Q654" s="1541">
        <f t="shared" si="19"/>
        <v>140</v>
      </c>
      <c r="R654" s="1541">
        <f t="shared" si="18"/>
        <v>0</v>
      </c>
    </row>
    <row r="655" spans="1:18" x14ac:dyDescent="0.3">
      <c r="A655" s="1852" t="s">
        <v>2860</v>
      </c>
      <c r="B655" s="1462"/>
      <c r="C655" s="1456">
        <v>20846</v>
      </c>
      <c r="D655" s="1456">
        <v>20846</v>
      </c>
      <c r="E655" s="1462"/>
      <c r="O655" s="1541">
        <f t="shared" si="19"/>
        <v>0</v>
      </c>
      <c r="P655" s="1541">
        <f t="shared" si="19"/>
        <v>20846</v>
      </c>
      <c r="Q655" s="1541">
        <f t="shared" si="19"/>
        <v>20846</v>
      </c>
      <c r="R655" s="1541">
        <f t="shared" si="18"/>
        <v>0</v>
      </c>
    </row>
    <row r="656" spans="1:18" x14ac:dyDescent="0.3">
      <c r="A656" s="1855" t="s">
        <v>2861</v>
      </c>
      <c r="B656" s="1462"/>
      <c r="C656" s="1456">
        <v>610</v>
      </c>
      <c r="D656" s="1456">
        <v>610</v>
      </c>
      <c r="E656" s="1462"/>
      <c r="O656" s="1541">
        <f t="shared" si="19"/>
        <v>0</v>
      </c>
      <c r="P656" s="1541">
        <f t="shared" si="19"/>
        <v>610</v>
      </c>
      <c r="Q656" s="1541">
        <f t="shared" si="19"/>
        <v>610</v>
      </c>
      <c r="R656" s="1541">
        <f t="shared" si="18"/>
        <v>0</v>
      </c>
    </row>
    <row r="657" spans="1:18" x14ac:dyDescent="0.3">
      <c r="A657" s="1855" t="s">
        <v>2862</v>
      </c>
      <c r="B657" s="1462"/>
      <c r="C657" s="1456">
        <v>1130</v>
      </c>
      <c r="D657" s="1456">
        <v>1130</v>
      </c>
      <c r="E657" s="1462"/>
      <c r="O657" s="1541">
        <f t="shared" si="19"/>
        <v>0</v>
      </c>
      <c r="P657" s="1541">
        <f t="shared" si="19"/>
        <v>1130</v>
      </c>
      <c r="Q657" s="1541">
        <f t="shared" si="19"/>
        <v>1130</v>
      </c>
      <c r="R657" s="1541">
        <f t="shared" si="18"/>
        <v>0</v>
      </c>
    </row>
    <row r="658" spans="1:18" x14ac:dyDescent="0.3">
      <c r="A658" s="1852" t="s">
        <v>2863</v>
      </c>
      <c r="B658" s="1462"/>
      <c r="C658" s="1456">
        <v>6746</v>
      </c>
      <c r="D658" s="1456">
        <v>6746</v>
      </c>
      <c r="E658" s="1462"/>
      <c r="O658" s="1541">
        <f t="shared" si="19"/>
        <v>0</v>
      </c>
      <c r="P658" s="1541">
        <f t="shared" si="19"/>
        <v>6746</v>
      </c>
      <c r="Q658" s="1541">
        <f t="shared" si="19"/>
        <v>6746</v>
      </c>
      <c r="R658" s="1541">
        <f t="shared" si="18"/>
        <v>0</v>
      </c>
    </row>
    <row r="659" spans="1:18" x14ac:dyDescent="0.3">
      <c r="A659" s="1852" t="s">
        <v>2864</v>
      </c>
      <c r="B659" s="1462"/>
      <c r="C659" s="1456">
        <v>1736</v>
      </c>
      <c r="D659" s="1456">
        <v>1736</v>
      </c>
      <c r="E659" s="1462"/>
      <c r="O659" s="1541">
        <f t="shared" si="19"/>
        <v>0</v>
      </c>
      <c r="P659" s="1541">
        <f t="shared" si="19"/>
        <v>1736</v>
      </c>
      <c r="Q659" s="1541">
        <f t="shared" si="19"/>
        <v>1736</v>
      </c>
      <c r="R659" s="1541">
        <f t="shared" si="18"/>
        <v>0</v>
      </c>
    </row>
    <row r="660" spans="1:18" x14ac:dyDescent="0.3">
      <c r="A660" s="1852" t="s">
        <v>2865</v>
      </c>
      <c r="B660" s="1462"/>
      <c r="C660" s="1456">
        <v>8158.01</v>
      </c>
      <c r="D660" s="1456">
        <v>8158</v>
      </c>
      <c r="E660" s="1896">
        <v>0.01</v>
      </c>
      <c r="O660" s="1541">
        <f t="shared" si="19"/>
        <v>0</v>
      </c>
      <c r="P660" s="1541">
        <f t="shared" si="19"/>
        <v>8158.01</v>
      </c>
      <c r="Q660" s="1541">
        <f t="shared" si="19"/>
        <v>8158</v>
      </c>
      <c r="R660" s="1541">
        <f t="shared" si="18"/>
        <v>0.01</v>
      </c>
    </row>
    <row r="661" spans="1:18" x14ac:dyDescent="0.3">
      <c r="A661" s="1852" t="s">
        <v>2866</v>
      </c>
      <c r="B661" s="1462"/>
      <c r="C661" s="1456">
        <v>200</v>
      </c>
      <c r="D661" s="1456">
        <v>200</v>
      </c>
      <c r="E661" s="1462"/>
      <c r="O661" s="1541">
        <f t="shared" si="19"/>
        <v>0</v>
      </c>
      <c r="P661" s="1541">
        <f t="shared" si="19"/>
        <v>200</v>
      </c>
      <c r="Q661" s="1541">
        <f t="shared" si="19"/>
        <v>200</v>
      </c>
      <c r="R661" s="1541">
        <f t="shared" si="18"/>
        <v>0</v>
      </c>
    </row>
    <row r="662" spans="1:18" x14ac:dyDescent="0.3">
      <c r="A662" s="1852" t="s">
        <v>2867</v>
      </c>
      <c r="B662" s="1462"/>
      <c r="C662" s="1456">
        <v>3180</v>
      </c>
      <c r="D662" s="1456">
        <v>3180</v>
      </c>
      <c r="E662" s="1462"/>
      <c r="O662" s="1541">
        <f t="shared" si="19"/>
        <v>0</v>
      </c>
      <c r="P662" s="1541">
        <f t="shared" si="19"/>
        <v>3180</v>
      </c>
      <c r="Q662" s="1541">
        <f t="shared" si="19"/>
        <v>3180</v>
      </c>
      <c r="R662" s="1541">
        <f t="shared" si="18"/>
        <v>0</v>
      </c>
    </row>
    <row r="663" spans="1:18" x14ac:dyDescent="0.3">
      <c r="A663" s="1852" t="s">
        <v>2868</v>
      </c>
      <c r="B663" s="1462"/>
      <c r="C663" s="1456">
        <v>1140</v>
      </c>
      <c r="D663" s="1456">
        <v>1140</v>
      </c>
      <c r="E663" s="1462"/>
      <c r="O663" s="1541">
        <f t="shared" si="19"/>
        <v>0</v>
      </c>
      <c r="P663" s="1541">
        <f t="shared" si="19"/>
        <v>1140</v>
      </c>
      <c r="Q663" s="1541">
        <f t="shared" si="19"/>
        <v>1140</v>
      </c>
      <c r="R663" s="1541">
        <f t="shared" si="18"/>
        <v>0</v>
      </c>
    </row>
    <row r="664" spans="1:18" x14ac:dyDescent="0.3">
      <c r="A664" s="1852" t="s">
        <v>2869</v>
      </c>
      <c r="B664" s="1462"/>
      <c r="C664" s="1456">
        <v>280</v>
      </c>
      <c r="D664" s="1456">
        <v>280</v>
      </c>
      <c r="E664" s="1462"/>
      <c r="O664" s="1541">
        <f t="shared" si="19"/>
        <v>0</v>
      </c>
      <c r="P664" s="1541">
        <f t="shared" si="19"/>
        <v>280</v>
      </c>
      <c r="Q664" s="1541">
        <f t="shared" si="19"/>
        <v>280</v>
      </c>
      <c r="R664" s="1541">
        <f t="shared" si="18"/>
        <v>0</v>
      </c>
    </row>
    <row r="665" spans="1:18" x14ac:dyDescent="0.3">
      <c r="A665" s="1852" t="s">
        <v>2870</v>
      </c>
      <c r="B665" s="1462"/>
      <c r="C665" s="1456">
        <v>2422</v>
      </c>
      <c r="D665" s="1456">
        <v>2422</v>
      </c>
      <c r="E665" s="1462"/>
      <c r="O665" s="1541">
        <f t="shared" si="19"/>
        <v>0</v>
      </c>
      <c r="P665" s="1541">
        <f t="shared" si="19"/>
        <v>2422</v>
      </c>
      <c r="Q665" s="1541">
        <f t="shared" si="19"/>
        <v>2422</v>
      </c>
      <c r="R665" s="1541">
        <f t="shared" si="18"/>
        <v>0</v>
      </c>
    </row>
    <row r="666" spans="1:18" x14ac:dyDescent="0.3">
      <c r="A666" s="1852" t="s">
        <v>2871</v>
      </c>
      <c r="B666" s="1462"/>
      <c r="C666" s="1456">
        <v>2410</v>
      </c>
      <c r="D666" s="1456">
        <v>2410</v>
      </c>
      <c r="E666" s="1462"/>
      <c r="O666" s="1541">
        <f t="shared" si="19"/>
        <v>0</v>
      </c>
      <c r="P666" s="1541">
        <f t="shared" si="19"/>
        <v>2410</v>
      </c>
      <c r="Q666" s="1541">
        <f t="shared" si="19"/>
        <v>2410</v>
      </c>
      <c r="R666" s="1541">
        <f t="shared" si="18"/>
        <v>0</v>
      </c>
    </row>
    <row r="667" spans="1:18" x14ac:dyDescent="0.3">
      <c r="A667" s="1855" t="s">
        <v>2872</v>
      </c>
      <c r="B667" s="1462"/>
      <c r="C667" s="1456">
        <v>560</v>
      </c>
      <c r="D667" s="1456">
        <v>560</v>
      </c>
      <c r="E667" s="1462"/>
      <c r="O667" s="1541">
        <f t="shared" si="19"/>
        <v>0</v>
      </c>
      <c r="P667" s="1541">
        <f t="shared" si="19"/>
        <v>560</v>
      </c>
      <c r="Q667" s="1541">
        <f t="shared" si="19"/>
        <v>560</v>
      </c>
      <c r="R667" s="1541">
        <f t="shared" si="18"/>
        <v>0</v>
      </c>
    </row>
    <row r="668" spans="1:18" x14ac:dyDescent="0.3">
      <c r="A668" s="1852" t="s">
        <v>2873</v>
      </c>
      <c r="B668" s="1462"/>
      <c r="C668" s="1456">
        <v>1855</v>
      </c>
      <c r="D668" s="1456">
        <v>1855</v>
      </c>
      <c r="E668" s="1462"/>
      <c r="O668" s="1541">
        <f t="shared" si="19"/>
        <v>0</v>
      </c>
      <c r="P668" s="1541">
        <f t="shared" si="19"/>
        <v>1855</v>
      </c>
      <c r="Q668" s="1541">
        <f t="shared" si="19"/>
        <v>1855</v>
      </c>
      <c r="R668" s="1541">
        <f t="shared" si="18"/>
        <v>0</v>
      </c>
    </row>
    <row r="669" spans="1:18" x14ac:dyDescent="0.3">
      <c r="A669" s="1852" t="s">
        <v>2874</v>
      </c>
      <c r="B669" s="1462"/>
      <c r="C669" s="1456">
        <v>926</v>
      </c>
      <c r="D669" s="1456">
        <v>926</v>
      </c>
      <c r="E669" s="1462"/>
      <c r="O669" s="1541">
        <f t="shared" si="19"/>
        <v>0</v>
      </c>
      <c r="P669" s="1541">
        <f t="shared" si="19"/>
        <v>926</v>
      </c>
      <c r="Q669" s="1541">
        <f t="shared" si="19"/>
        <v>926</v>
      </c>
      <c r="R669" s="1541">
        <f t="shared" si="18"/>
        <v>0</v>
      </c>
    </row>
    <row r="670" spans="1:18" x14ac:dyDescent="0.3">
      <c r="A670" s="1852" t="s">
        <v>2875</v>
      </c>
      <c r="B670" s="1462"/>
      <c r="C670" s="1456">
        <v>17506</v>
      </c>
      <c r="D670" s="1456">
        <v>17506</v>
      </c>
      <c r="E670" s="1462"/>
      <c r="O670" s="1541">
        <f t="shared" si="19"/>
        <v>0</v>
      </c>
      <c r="P670" s="1541">
        <f t="shared" si="19"/>
        <v>17506</v>
      </c>
      <c r="Q670" s="1541">
        <f t="shared" si="19"/>
        <v>17506</v>
      </c>
      <c r="R670" s="1541">
        <f t="shared" si="18"/>
        <v>0</v>
      </c>
    </row>
    <row r="671" spans="1:18" x14ac:dyDescent="0.3">
      <c r="A671" s="1852" t="s">
        <v>2876</v>
      </c>
      <c r="B671" s="1462"/>
      <c r="C671" s="1456">
        <v>27384.01</v>
      </c>
      <c r="D671" s="1456">
        <v>27384</v>
      </c>
      <c r="E671" s="1896">
        <v>0.01</v>
      </c>
      <c r="O671" s="1541">
        <f t="shared" si="19"/>
        <v>0</v>
      </c>
      <c r="P671" s="1541">
        <f t="shared" si="19"/>
        <v>27384.01</v>
      </c>
      <c r="Q671" s="1541">
        <f t="shared" si="19"/>
        <v>27384</v>
      </c>
      <c r="R671" s="1541">
        <f t="shared" si="18"/>
        <v>0.01</v>
      </c>
    </row>
    <row r="672" spans="1:18" x14ac:dyDescent="0.3">
      <c r="A672" s="1852" t="s">
        <v>2877</v>
      </c>
      <c r="B672" s="1462"/>
      <c r="C672" s="1456">
        <v>2990</v>
      </c>
      <c r="D672" s="1456">
        <v>2990</v>
      </c>
      <c r="E672" s="1462"/>
      <c r="O672" s="1541">
        <f t="shared" si="19"/>
        <v>0</v>
      </c>
      <c r="P672" s="1541">
        <f t="shared" si="19"/>
        <v>2990</v>
      </c>
      <c r="Q672" s="1541">
        <f t="shared" si="19"/>
        <v>2990</v>
      </c>
      <c r="R672" s="1541">
        <f t="shared" si="18"/>
        <v>0</v>
      </c>
    </row>
    <row r="673" spans="1:18" x14ac:dyDescent="0.3">
      <c r="A673" s="1852" t="s">
        <v>2878</v>
      </c>
      <c r="B673" s="1462"/>
      <c r="C673" s="1456">
        <v>12576</v>
      </c>
      <c r="D673" s="1456">
        <v>12576</v>
      </c>
      <c r="E673" s="1462"/>
      <c r="O673" s="1541">
        <f t="shared" si="19"/>
        <v>0</v>
      </c>
      <c r="P673" s="1541">
        <f t="shared" si="19"/>
        <v>12576</v>
      </c>
      <c r="Q673" s="1541">
        <f t="shared" si="19"/>
        <v>12576</v>
      </c>
      <c r="R673" s="1541">
        <f t="shared" si="18"/>
        <v>0</v>
      </c>
    </row>
    <row r="674" spans="1:18" x14ac:dyDescent="0.3">
      <c r="A674" s="1852" t="s">
        <v>2879</v>
      </c>
      <c r="B674" s="1462"/>
      <c r="C674" s="1456">
        <v>166</v>
      </c>
      <c r="D674" s="1456">
        <v>166</v>
      </c>
      <c r="E674" s="1462"/>
      <c r="O674" s="1541">
        <f t="shared" si="19"/>
        <v>0</v>
      </c>
      <c r="P674" s="1541">
        <f t="shared" si="19"/>
        <v>166</v>
      </c>
      <c r="Q674" s="1541">
        <f t="shared" si="19"/>
        <v>166</v>
      </c>
      <c r="R674" s="1541">
        <f t="shared" si="18"/>
        <v>0</v>
      </c>
    </row>
    <row r="675" spans="1:18" x14ac:dyDescent="0.3">
      <c r="A675" s="1855" t="s">
        <v>2880</v>
      </c>
      <c r="B675" s="1462"/>
      <c r="C675" s="1456">
        <v>790</v>
      </c>
      <c r="D675" s="1456">
        <v>790</v>
      </c>
      <c r="E675" s="1462"/>
      <c r="O675" s="1541">
        <f t="shared" si="19"/>
        <v>0</v>
      </c>
      <c r="P675" s="1541">
        <f t="shared" si="19"/>
        <v>790</v>
      </c>
      <c r="Q675" s="1541">
        <f t="shared" si="19"/>
        <v>790</v>
      </c>
      <c r="R675" s="1541">
        <f t="shared" si="18"/>
        <v>0</v>
      </c>
    </row>
    <row r="676" spans="1:18" x14ac:dyDescent="0.3">
      <c r="A676" s="1855" t="s">
        <v>2881</v>
      </c>
      <c r="B676" s="1462"/>
      <c r="C676" s="1456">
        <v>1000</v>
      </c>
      <c r="D676" s="1456">
        <v>1000</v>
      </c>
      <c r="E676" s="1462"/>
      <c r="O676" s="1541">
        <f t="shared" si="19"/>
        <v>0</v>
      </c>
      <c r="P676" s="1541">
        <f t="shared" si="19"/>
        <v>1000</v>
      </c>
      <c r="Q676" s="1541">
        <f t="shared" si="19"/>
        <v>1000</v>
      </c>
      <c r="R676" s="1541">
        <f t="shared" si="18"/>
        <v>0</v>
      </c>
    </row>
    <row r="677" spans="1:18" x14ac:dyDescent="0.3">
      <c r="A677" s="1852" t="s">
        <v>2882</v>
      </c>
      <c r="B677" s="1462"/>
      <c r="C677" s="1456">
        <v>147423</v>
      </c>
      <c r="D677" s="1456">
        <v>147423</v>
      </c>
      <c r="E677" s="1462"/>
      <c r="O677" s="1541">
        <f t="shared" si="19"/>
        <v>0</v>
      </c>
      <c r="P677" s="1541">
        <f t="shared" si="19"/>
        <v>147423</v>
      </c>
      <c r="Q677" s="1541">
        <f t="shared" si="19"/>
        <v>147423</v>
      </c>
      <c r="R677" s="1541">
        <f t="shared" si="18"/>
        <v>0</v>
      </c>
    </row>
    <row r="678" spans="1:18" x14ac:dyDescent="0.3">
      <c r="A678" s="1852" t="s">
        <v>2883</v>
      </c>
      <c r="B678" s="1462"/>
      <c r="C678" s="1456">
        <v>15826</v>
      </c>
      <c r="D678" s="1456">
        <v>15826</v>
      </c>
      <c r="E678" s="1462"/>
      <c r="O678" s="1541">
        <f t="shared" si="19"/>
        <v>0</v>
      </c>
      <c r="P678" s="1541">
        <f t="shared" si="19"/>
        <v>15826</v>
      </c>
      <c r="Q678" s="1541">
        <f t="shared" si="19"/>
        <v>15826</v>
      </c>
      <c r="R678" s="1541">
        <f t="shared" si="18"/>
        <v>0</v>
      </c>
    </row>
    <row r="679" spans="1:18" x14ac:dyDescent="0.3">
      <c r="A679" s="1852" t="s">
        <v>2884</v>
      </c>
      <c r="B679" s="1462"/>
      <c r="C679" s="1456">
        <v>3124</v>
      </c>
      <c r="D679" s="1456">
        <v>3124</v>
      </c>
      <c r="E679" s="1462"/>
      <c r="O679" s="1541">
        <f t="shared" si="19"/>
        <v>0</v>
      </c>
      <c r="P679" s="1541">
        <f t="shared" si="19"/>
        <v>3124</v>
      </c>
      <c r="Q679" s="1541">
        <f t="shared" si="19"/>
        <v>3124</v>
      </c>
      <c r="R679" s="1541">
        <f t="shared" si="18"/>
        <v>0</v>
      </c>
    </row>
    <row r="680" spans="1:18" x14ac:dyDescent="0.3">
      <c r="A680" s="1852" t="s">
        <v>2885</v>
      </c>
      <c r="B680" s="1462"/>
      <c r="C680" s="1456">
        <v>1834</v>
      </c>
      <c r="D680" s="1456">
        <v>1834</v>
      </c>
      <c r="E680" s="1462"/>
      <c r="O680" s="1541">
        <f t="shared" si="19"/>
        <v>0</v>
      </c>
      <c r="P680" s="1541">
        <f t="shared" si="19"/>
        <v>1834</v>
      </c>
      <c r="Q680" s="1541">
        <f t="shared" si="19"/>
        <v>1834</v>
      </c>
      <c r="R680" s="1541">
        <f t="shared" si="18"/>
        <v>0</v>
      </c>
    </row>
    <row r="681" spans="1:18" x14ac:dyDescent="0.3">
      <c r="A681" s="1855" t="s">
        <v>2886</v>
      </c>
      <c r="B681" s="1462"/>
      <c r="C681" s="1456">
        <v>280</v>
      </c>
      <c r="D681" s="1456">
        <v>280</v>
      </c>
      <c r="E681" s="1462"/>
      <c r="O681" s="1541">
        <f t="shared" si="19"/>
        <v>0</v>
      </c>
      <c r="P681" s="1541">
        <f t="shared" si="19"/>
        <v>280</v>
      </c>
      <c r="Q681" s="1541">
        <f t="shared" si="19"/>
        <v>280</v>
      </c>
      <c r="R681" s="1541">
        <f t="shared" si="18"/>
        <v>0</v>
      </c>
    </row>
    <row r="682" spans="1:18" x14ac:dyDescent="0.3">
      <c r="A682" s="1852" t="s">
        <v>2887</v>
      </c>
      <c r="B682" s="1462"/>
      <c r="C682" s="1456">
        <v>20001</v>
      </c>
      <c r="D682" s="1456">
        <v>20001</v>
      </c>
      <c r="E682" s="1462"/>
      <c r="O682" s="1541">
        <f t="shared" si="19"/>
        <v>0</v>
      </c>
      <c r="P682" s="1541">
        <f t="shared" si="19"/>
        <v>20001</v>
      </c>
      <c r="Q682" s="1541">
        <f t="shared" si="19"/>
        <v>20001</v>
      </c>
      <c r="R682" s="1541">
        <f t="shared" si="18"/>
        <v>0</v>
      </c>
    </row>
    <row r="683" spans="1:18" x14ac:dyDescent="0.3">
      <c r="A683" s="1852" t="s">
        <v>2888</v>
      </c>
      <c r="B683" s="1462"/>
      <c r="C683" s="1456">
        <v>3534</v>
      </c>
      <c r="D683" s="1456">
        <v>3534</v>
      </c>
      <c r="E683" s="1462"/>
      <c r="O683" s="1541">
        <f t="shared" si="19"/>
        <v>0</v>
      </c>
      <c r="P683" s="1541">
        <f t="shared" si="19"/>
        <v>3534</v>
      </c>
      <c r="Q683" s="1541">
        <f t="shared" si="19"/>
        <v>3534</v>
      </c>
      <c r="R683" s="1541">
        <f t="shared" si="18"/>
        <v>0</v>
      </c>
    </row>
    <row r="684" spans="1:18" x14ac:dyDescent="0.3">
      <c r="A684" s="1852" t="s">
        <v>2889</v>
      </c>
      <c r="B684" s="1462"/>
      <c r="C684" s="1456">
        <v>766</v>
      </c>
      <c r="D684" s="1456">
        <v>766</v>
      </c>
      <c r="E684" s="1462"/>
      <c r="O684" s="1541">
        <f t="shared" si="19"/>
        <v>0</v>
      </c>
      <c r="P684" s="1541">
        <f t="shared" si="19"/>
        <v>766</v>
      </c>
      <c r="Q684" s="1541">
        <f t="shared" si="19"/>
        <v>766</v>
      </c>
      <c r="R684" s="1541">
        <f t="shared" si="18"/>
        <v>0</v>
      </c>
    </row>
    <row r="685" spans="1:18" x14ac:dyDescent="0.3">
      <c r="A685" s="1852" t="s">
        <v>2890</v>
      </c>
      <c r="B685" s="1462"/>
      <c r="C685" s="1456">
        <v>3146</v>
      </c>
      <c r="D685" s="1456">
        <v>3146</v>
      </c>
      <c r="E685" s="1462"/>
      <c r="O685" s="1541">
        <f t="shared" si="19"/>
        <v>0</v>
      </c>
      <c r="P685" s="1541">
        <f t="shared" si="19"/>
        <v>3146</v>
      </c>
      <c r="Q685" s="1541">
        <f t="shared" si="19"/>
        <v>3146</v>
      </c>
      <c r="R685" s="1541">
        <f t="shared" si="18"/>
        <v>0</v>
      </c>
    </row>
    <row r="686" spans="1:18" x14ac:dyDescent="0.3">
      <c r="A686" s="1852" t="s">
        <v>2891</v>
      </c>
      <c r="B686" s="1462"/>
      <c r="C686" s="1456">
        <v>950</v>
      </c>
      <c r="D686" s="1456">
        <v>950</v>
      </c>
      <c r="E686" s="1462"/>
      <c r="O686" s="1541">
        <f t="shared" si="19"/>
        <v>0</v>
      </c>
      <c r="P686" s="1541">
        <f t="shared" si="19"/>
        <v>950</v>
      </c>
      <c r="Q686" s="1541">
        <f t="shared" si="19"/>
        <v>950</v>
      </c>
      <c r="R686" s="1541">
        <f t="shared" si="19"/>
        <v>0</v>
      </c>
    </row>
    <row r="687" spans="1:18" x14ac:dyDescent="0.3">
      <c r="A687" s="1855" t="s">
        <v>2892</v>
      </c>
      <c r="B687" s="1462"/>
      <c r="C687" s="1456">
        <v>7984.01</v>
      </c>
      <c r="D687" s="1456">
        <v>7983.97</v>
      </c>
      <c r="E687" s="1896">
        <v>0.04</v>
      </c>
      <c r="O687" s="1541">
        <f t="shared" ref="O687:R750" si="20">B687+I687</f>
        <v>0</v>
      </c>
      <c r="P687" s="1541">
        <f t="shared" si="20"/>
        <v>7984.01</v>
      </c>
      <c r="Q687" s="1541">
        <f t="shared" si="20"/>
        <v>7983.97</v>
      </c>
      <c r="R687" s="1541">
        <f t="shared" si="20"/>
        <v>0.04</v>
      </c>
    </row>
    <row r="688" spans="1:18" x14ac:dyDescent="0.3">
      <c r="A688" s="1855" t="s">
        <v>2893</v>
      </c>
      <c r="B688" s="1462"/>
      <c r="C688" s="1456">
        <v>1080</v>
      </c>
      <c r="D688" s="1456">
        <v>1080</v>
      </c>
      <c r="E688" s="1462"/>
      <c r="O688" s="1541">
        <f t="shared" si="20"/>
        <v>0</v>
      </c>
      <c r="P688" s="1541">
        <f t="shared" si="20"/>
        <v>1080</v>
      </c>
      <c r="Q688" s="1541">
        <f t="shared" si="20"/>
        <v>1080</v>
      </c>
      <c r="R688" s="1541">
        <f t="shared" si="20"/>
        <v>0</v>
      </c>
    </row>
    <row r="689" spans="1:18" x14ac:dyDescent="0.3">
      <c r="A689" s="1852" t="s">
        <v>2894</v>
      </c>
      <c r="B689" s="1462"/>
      <c r="C689" s="1456">
        <v>20512</v>
      </c>
      <c r="D689" s="1456">
        <v>20512</v>
      </c>
      <c r="E689" s="1462"/>
      <c r="O689" s="1541">
        <f t="shared" si="20"/>
        <v>0</v>
      </c>
      <c r="P689" s="1541">
        <f t="shared" si="20"/>
        <v>20512</v>
      </c>
      <c r="Q689" s="1541">
        <f t="shared" si="20"/>
        <v>20512</v>
      </c>
      <c r="R689" s="1541">
        <f t="shared" si="20"/>
        <v>0</v>
      </c>
    </row>
    <row r="690" spans="1:18" x14ac:dyDescent="0.3">
      <c r="A690" s="1855" t="s">
        <v>2895</v>
      </c>
      <c r="B690" s="1462"/>
      <c r="C690" s="1456">
        <v>200</v>
      </c>
      <c r="D690" s="1456">
        <v>200</v>
      </c>
      <c r="E690" s="1462"/>
      <c r="O690" s="1541">
        <f t="shared" si="20"/>
        <v>0</v>
      </c>
      <c r="P690" s="1541">
        <f t="shared" si="20"/>
        <v>200</v>
      </c>
      <c r="Q690" s="1541">
        <f t="shared" si="20"/>
        <v>200</v>
      </c>
      <c r="R690" s="1541">
        <f t="shared" si="20"/>
        <v>0</v>
      </c>
    </row>
    <row r="691" spans="1:18" x14ac:dyDescent="0.3">
      <c r="A691" s="1852" t="s">
        <v>2896</v>
      </c>
      <c r="B691" s="1462"/>
      <c r="C691" s="1456">
        <v>1822</v>
      </c>
      <c r="D691" s="1456">
        <v>1822</v>
      </c>
      <c r="E691" s="1462"/>
      <c r="O691" s="1541">
        <f t="shared" si="20"/>
        <v>0</v>
      </c>
      <c r="P691" s="1541">
        <f t="shared" si="20"/>
        <v>1822</v>
      </c>
      <c r="Q691" s="1541">
        <f t="shared" si="20"/>
        <v>1822</v>
      </c>
      <c r="R691" s="1541">
        <f t="shared" si="20"/>
        <v>0</v>
      </c>
    </row>
    <row r="692" spans="1:18" x14ac:dyDescent="0.3">
      <c r="A692" s="1852" t="s">
        <v>2897</v>
      </c>
      <c r="B692" s="1462"/>
      <c r="C692" s="1456">
        <v>62010</v>
      </c>
      <c r="D692" s="1456">
        <v>62010</v>
      </c>
      <c r="E692" s="1462"/>
      <c r="O692" s="1541">
        <f t="shared" si="20"/>
        <v>0</v>
      </c>
      <c r="P692" s="1541">
        <f t="shared" si="20"/>
        <v>62010</v>
      </c>
      <c r="Q692" s="1541">
        <f t="shared" si="20"/>
        <v>62010</v>
      </c>
      <c r="R692" s="1541">
        <f t="shared" si="20"/>
        <v>0</v>
      </c>
    </row>
    <row r="693" spans="1:18" x14ac:dyDescent="0.3">
      <c r="A693" s="1852" t="s">
        <v>2898</v>
      </c>
      <c r="B693" s="1462"/>
      <c r="C693" s="1456">
        <v>190</v>
      </c>
      <c r="D693" s="1456">
        <v>190</v>
      </c>
      <c r="E693" s="1462"/>
      <c r="O693" s="1541">
        <f t="shared" si="20"/>
        <v>0</v>
      </c>
      <c r="P693" s="1541">
        <f t="shared" si="20"/>
        <v>190</v>
      </c>
      <c r="Q693" s="1541">
        <f t="shared" si="20"/>
        <v>190</v>
      </c>
      <c r="R693" s="1541">
        <f t="shared" si="20"/>
        <v>0</v>
      </c>
    </row>
    <row r="694" spans="1:18" x14ac:dyDescent="0.3">
      <c r="A694" s="1852" t="s">
        <v>2899</v>
      </c>
      <c r="B694" s="1462"/>
      <c r="C694" s="1456">
        <v>18000</v>
      </c>
      <c r="D694" s="1456">
        <v>18000</v>
      </c>
      <c r="E694" s="1462"/>
      <c r="O694" s="1541">
        <f t="shared" si="20"/>
        <v>0</v>
      </c>
      <c r="P694" s="1541">
        <f t="shared" si="20"/>
        <v>18000</v>
      </c>
      <c r="Q694" s="1541">
        <f t="shared" si="20"/>
        <v>18000</v>
      </c>
      <c r="R694" s="1541">
        <f t="shared" si="20"/>
        <v>0</v>
      </c>
    </row>
    <row r="695" spans="1:18" x14ac:dyDescent="0.3">
      <c r="A695" s="1852" t="s">
        <v>2900</v>
      </c>
      <c r="B695" s="1462"/>
      <c r="C695" s="1456">
        <v>636</v>
      </c>
      <c r="D695" s="1456">
        <v>636</v>
      </c>
      <c r="E695" s="1462"/>
      <c r="O695" s="1541">
        <f t="shared" si="20"/>
        <v>0</v>
      </c>
      <c r="P695" s="1541">
        <f t="shared" si="20"/>
        <v>636</v>
      </c>
      <c r="Q695" s="1541">
        <f t="shared" si="20"/>
        <v>636</v>
      </c>
      <c r="R695" s="1541">
        <f t="shared" si="20"/>
        <v>0</v>
      </c>
    </row>
    <row r="696" spans="1:18" x14ac:dyDescent="0.3">
      <c r="A696" s="1852" t="s">
        <v>2901</v>
      </c>
      <c r="B696" s="1462"/>
      <c r="C696" s="1456">
        <v>180</v>
      </c>
      <c r="D696" s="1456">
        <v>180</v>
      </c>
      <c r="E696" s="1462"/>
      <c r="O696" s="1541">
        <f t="shared" si="20"/>
        <v>0</v>
      </c>
      <c r="P696" s="1541">
        <f t="shared" si="20"/>
        <v>180</v>
      </c>
      <c r="Q696" s="1541">
        <f t="shared" si="20"/>
        <v>180</v>
      </c>
      <c r="R696" s="1541">
        <f t="shared" si="20"/>
        <v>0</v>
      </c>
    </row>
    <row r="697" spans="1:18" x14ac:dyDescent="0.3">
      <c r="A697" s="1855" t="s">
        <v>2902</v>
      </c>
      <c r="B697" s="1462"/>
      <c r="C697" s="1456">
        <v>151000.01999999999</v>
      </c>
      <c r="D697" s="1456">
        <v>151000</v>
      </c>
      <c r="E697" s="1896">
        <v>0.02</v>
      </c>
      <c r="O697" s="1541">
        <f t="shared" si="20"/>
        <v>0</v>
      </c>
      <c r="P697" s="1541">
        <f t="shared" si="20"/>
        <v>151000.01999999999</v>
      </c>
      <c r="Q697" s="1541">
        <f t="shared" si="20"/>
        <v>151000</v>
      </c>
      <c r="R697" s="1541">
        <f t="shared" si="20"/>
        <v>0.02</v>
      </c>
    </row>
    <row r="698" spans="1:18" x14ac:dyDescent="0.3">
      <c r="A698" s="1852" t="s">
        <v>2903</v>
      </c>
      <c r="B698" s="1462"/>
      <c r="C698" s="1456">
        <v>660</v>
      </c>
      <c r="D698" s="1456">
        <v>660</v>
      </c>
      <c r="E698" s="1462"/>
      <c r="O698" s="1541">
        <f t="shared" si="20"/>
        <v>0</v>
      </c>
      <c r="P698" s="1541">
        <f t="shared" si="20"/>
        <v>660</v>
      </c>
      <c r="Q698" s="1541">
        <f t="shared" si="20"/>
        <v>660</v>
      </c>
      <c r="R698" s="1541">
        <f t="shared" si="20"/>
        <v>0</v>
      </c>
    </row>
    <row r="699" spans="1:18" x14ac:dyDescent="0.3">
      <c r="A699" s="1855" t="s">
        <v>2904</v>
      </c>
      <c r="B699" s="1462"/>
      <c r="C699" s="1456">
        <v>400</v>
      </c>
      <c r="D699" s="1456">
        <v>400</v>
      </c>
      <c r="E699" s="1462"/>
      <c r="O699" s="1541">
        <f t="shared" si="20"/>
        <v>0</v>
      </c>
      <c r="P699" s="1541">
        <f t="shared" si="20"/>
        <v>400</v>
      </c>
      <c r="Q699" s="1541">
        <f t="shared" si="20"/>
        <v>400</v>
      </c>
      <c r="R699" s="1541">
        <f t="shared" si="20"/>
        <v>0</v>
      </c>
    </row>
    <row r="700" spans="1:18" x14ac:dyDescent="0.3">
      <c r="A700" s="1852" t="s">
        <v>2905</v>
      </c>
      <c r="B700" s="1462"/>
      <c r="C700" s="1456">
        <v>3918</v>
      </c>
      <c r="D700" s="1456">
        <v>3918</v>
      </c>
      <c r="E700" s="1462"/>
      <c r="O700" s="1541">
        <f t="shared" si="20"/>
        <v>0</v>
      </c>
      <c r="P700" s="1541">
        <f t="shared" si="20"/>
        <v>3918</v>
      </c>
      <c r="Q700" s="1541">
        <f t="shared" si="20"/>
        <v>3918</v>
      </c>
      <c r="R700" s="1541">
        <f t="shared" si="20"/>
        <v>0</v>
      </c>
    </row>
    <row r="701" spans="1:18" x14ac:dyDescent="0.3">
      <c r="A701" s="1852" t="s">
        <v>2906</v>
      </c>
      <c r="B701" s="1462"/>
      <c r="C701" s="1456">
        <v>1400</v>
      </c>
      <c r="D701" s="1456">
        <v>1400</v>
      </c>
      <c r="E701" s="1462"/>
      <c r="O701" s="1541">
        <f t="shared" si="20"/>
        <v>0</v>
      </c>
      <c r="P701" s="1541">
        <f t="shared" si="20"/>
        <v>1400</v>
      </c>
      <c r="Q701" s="1541">
        <f t="shared" si="20"/>
        <v>1400</v>
      </c>
      <c r="R701" s="1541">
        <f t="shared" si="20"/>
        <v>0</v>
      </c>
    </row>
    <row r="702" spans="1:18" x14ac:dyDescent="0.3">
      <c r="A702" s="1852" t="s">
        <v>2907</v>
      </c>
      <c r="B702" s="1462"/>
      <c r="C702" s="1456">
        <v>34171.019999999997</v>
      </c>
      <c r="D702" s="1456">
        <v>34171</v>
      </c>
      <c r="E702" s="1896">
        <v>0.02</v>
      </c>
      <c r="O702" s="1541">
        <f t="shared" si="20"/>
        <v>0</v>
      </c>
      <c r="P702" s="1541">
        <f t="shared" si="20"/>
        <v>34171.019999999997</v>
      </c>
      <c r="Q702" s="1541">
        <f t="shared" si="20"/>
        <v>34171</v>
      </c>
      <c r="R702" s="1541">
        <f t="shared" si="20"/>
        <v>0.02</v>
      </c>
    </row>
    <row r="703" spans="1:18" x14ac:dyDescent="0.3">
      <c r="A703" s="1855" t="s">
        <v>2908</v>
      </c>
      <c r="B703" s="1462"/>
      <c r="C703" s="1456">
        <v>12700</v>
      </c>
      <c r="D703" s="1456">
        <v>12700</v>
      </c>
      <c r="E703" s="1462"/>
      <c r="O703" s="1541">
        <f t="shared" si="20"/>
        <v>0</v>
      </c>
      <c r="P703" s="1541">
        <f t="shared" si="20"/>
        <v>12700</v>
      </c>
      <c r="Q703" s="1541">
        <f t="shared" si="20"/>
        <v>12700</v>
      </c>
      <c r="R703" s="1541">
        <f t="shared" si="20"/>
        <v>0</v>
      </c>
    </row>
    <row r="704" spans="1:18" x14ac:dyDescent="0.3">
      <c r="A704" s="1852" t="s">
        <v>2909</v>
      </c>
      <c r="B704" s="1462"/>
      <c r="C704" s="1456">
        <v>2150</v>
      </c>
      <c r="D704" s="1456">
        <v>2150</v>
      </c>
      <c r="E704" s="1462"/>
      <c r="O704" s="1541">
        <f t="shared" si="20"/>
        <v>0</v>
      </c>
      <c r="P704" s="1541">
        <f t="shared" si="20"/>
        <v>2150</v>
      </c>
      <c r="Q704" s="1541">
        <f t="shared" si="20"/>
        <v>2150</v>
      </c>
      <c r="R704" s="1541">
        <f t="shared" si="20"/>
        <v>0</v>
      </c>
    </row>
    <row r="705" spans="1:18" x14ac:dyDescent="0.3">
      <c r="A705" s="1852" t="s">
        <v>2910</v>
      </c>
      <c r="B705" s="1462"/>
      <c r="C705" s="1456">
        <v>1230</v>
      </c>
      <c r="D705" s="1456">
        <v>1230</v>
      </c>
      <c r="E705" s="1462"/>
      <c r="O705" s="1541">
        <f t="shared" si="20"/>
        <v>0</v>
      </c>
      <c r="P705" s="1541">
        <f t="shared" si="20"/>
        <v>1230</v>
      </c>
      <c r="Q705" s="1541">
        <f t="shared" si="20"/>
        <v>1230</v>
      </c>
      <c r="R705" s="1541">
        <f t="shared" si="20"/>
        <v>0</v>
      </c>
    </row>
    <row r="706" spans="1:18" x14ac:dyDescent="0.3">
      <c r="A706" s="1855" t="s">
        <v>2911</v>
      </c>
      <c r="B706" s="1462"/>
      <c r="C706" s="1456">
        <v>5120</v>
      </c>
      <c r="D706" s="1456">
        <v>5120</v>
      </c>
      <c r="E706" s="1462"/>
      <c r="O706" s="1541">
        <f t="shared" si="20"/>
        <v>0</v>
      </c>
      <c r="P706" s="1541">
        <f t="shared" si="20"/>
        <v>5120</v>
      </c>
      <c r="Q706" s="1541">
        <f t="shared" si="20"/>
        <v>5120</v>
      </c>
      <c r="R706" s="1541">
        <f t="shared" si="20"/>
        <v>0</v>
      </c>
    </row>
    <row r="707" spans="1:18" x14ac:dyDescent="0.3">
      <c r="A707" s="1855" t="s">
        <v>2912</v>
      </c>
      <c r="B707" s="1462"/>
      <c r="C707" s="1456">
        <v>6600</v>
      </c>
      <c r="D707" s="1456">
        <v>6600</v>
      </c>
      <c r="E707" s="1462"/>
      <c r="O707" s="1541">
        <f t="shared" si="20"/>
        <v>0</v>
      </c>
      <c r="P707" s="1541">
        <f t="shared" si="20"/>
        <v>6600</v>
      </c>
      <c r="Q707" s="1541">
        <f t="shared" si="20"/>
        <v>6600</v>
      </c>
      <c r="R707" s="1541">
        <f t="shared" si="20"/>
        <v>0</v>
      </c>
    </row>
    <row r="708" spans="1:18" x14ac:dyDescent="0.3">
      <c r="A708" s="1852" t="s">
        <v>2913</v>
      </c>
      <c r="B708" s="1462"/>
      <c r="C708" s="1456">
        <v>3116</v>
      </c>
      <c r="D708" s="1456">
        <v>3116</v>
      </c>
      <c r="E708" s="1462"/>
      <c r="O708" s="1541">
        <f t="shared" si="20"/>
        <v>0</v>
      </c>
      <c r="P708" s="1541">
        <f t="shared" si="20"/>
        <v>3116</v>
      </c>
      <c r="Q708" s="1541">
        <f t="shared" si="20"/>
        <v>3116</v>
      </c>
      <c r="R708" s="1541">
        <f t="shared" si="20"/>
        <v>0</v>
      </c>
    </row>
    <row r="709" spans="1:18" x14ac:dyDescent="0.3">
      <c r="A709" s="1461" t="s">
        <v>2914</v>
      </c>
      <c r="B709" s="1462"/>
      <c r="C709" s="1456">
        <v>25200</v>
      </c>
      <c r="D709" s="1456">
        <v>25200</v>
      </c>
      <c r="E709" s="1462"/>
      <c r="O709" s="1541">
        <f t="shared" si="20"/>
        <v>0</v>
      </c>
      <c r="P709" s="1541">
        <f t="shared" si="20"/>
        <v>25200</v>
      </c>
      <c r="Q709" s="1541">
        <f t="shared" si="20"/>
        <v>25200</v>
      </c>
      <c r="R709" s="1541">
        <f t="shared" si="20"/>
        <v>0</v>
      </c>
    </row>
    <row r="710" spans="1:18" x14ac:dyDescent="0.3">
      <c r="A710" s="1852" t="s">
        <v>2915</v>
      </c>
      <c r="B710" s="1462"/>
      <c r="C710" s="1456">
        <v>1848</v>
      </c>
      <c r="D710" s="1456">
        <v>1848</v>
      </c>
      <c r="E710" s="1462"/>
      <c r="O710" s="1541">
        <f t="shared" si="20"/>
        <v>0</v>
      </c>
      <c r="P710" s="1541">
        <f t="shared" si="20"/>
        <v>1848</v>
      </c>
      <c r="Q710" s="1541">
        <f t="shared" si="20"/>
        <v>1848</v>
      </c>
      <c r="R710" s="1541">
        <f t="shared" si="20"/>
        <v>0</v>
      </c>
    </row>
    <row r="711" spans="1:18" x14ac:dyDescent="0.3">
      <c r="A711" s="1852" t="s">
        <v>2916</v>
      </c>
      <c r="B711" s="1462"/>
      <c r="C711" s="1456">
        <v>18996</v>
      </c>
      <c r="D711" s="1456">
        <v>18996</v>
      </c>
      <c r="E711" s="1462"/>
      <c r="O711" s="1541">
        <f t="shared" si="20"/>
        <v>0</v>
      </c>
      <c r="P711" s="1541">
        <f t="shared" si="20"/>
        <v>18996</v>
      </c>
      <c r="Q711" s="1541">
        <f t="shared" si="20"/>
        <v>18996</v>
      </c>
      <c r="R711" s="1541">
        <f t="shared" si="20"/>
        <v>0</v>
      </c>
    </row>
    <row r="712" spans="1:18" x14ac:dyDescent="0.3">
      <c r="A712" s="1852" t="s">
        <v>2917</v>
      </c>
      <c r="B712" s="1462"/>
      <c r="C712" s="1456">
        <v>3240</v>
      </c>
      <c r="D712" s="1456">
        <v>3240</v>
      </c>
      <c r="E712" s="1462"/>
      <c r="O712" s="1541">
        <f t="shared" si="20"/>
        <v>0</v>
      </c>
      <c r="P712" s="1541">
        <f t="shared" si="20"/>
        <v>3240</v>
      </c>
      <c r="Q712" s="1541">
        <f t="shared" si="20"/>
        <v>3240</v>
      </c>
      <c r="R712" s="1541">
        <f t="shared" si="20"/>
        <v>0</v>
      </c>
    </row>
    <row r="713" spans="1:18" x14ac:dyDescent="0.3">
      <c r="A713" s="1852" t="s">
        <v>2918</v>
      </c>
      <c r="B713" s="1462"/>
      <c r="C713" s="1456">
        <v>8224</v>
      </c>
      <c r="D713" s="1456">
        <v>8224</v>
      </c>
      <c r="E713" s="1462"/>
      <c r="O713" s="1541">
        <f t="shared" si="20"/>
        <v>0</v>
      </c>
      <c r="P713" s="1541">
        <f t="shared" si="20"/>
        <v>8224</v>
      </c>
      <c r="Q713" s="1541">
        <f t="shared" si="20"/>
        <v>8224</v>
      </c>
      <c r="R713" s="1541">
        <f t="shared" si="20"/>
        <v>0</v>
      </c>
    </row>
    <row r="714" spans="1:18" x14ac:dyDescent="0.3">
      <c r="A714" s="1852" t="s">
        <v>2919</v>
      </c>
      <c r="B714" s="1462"/>
      <c r="C714" s="1456">
        <v>32537</v>
      </c>
      <c r="D714" s="1456">
        <v>32537</v>
      </c>
      <c r="E714" s="1462"/>
      <c r="O714" s="1541">
        <f t="shared" si="20"/>
        <v>0</v>
      </c>
      <c r="P714" s="1541">
        <f t="shared" si="20"/>
        <v>32537</v>
      </c>
      <c r="Q714" s="1541">
        <f t="shared" si="20"/>
        <v>32537</v>
      </c>
      <c r="R714" s="1541">
        <f t="shared" si="20"/>
        <v>0</v>
      </c>
    </row>
    <row r="715" spans="1:18" x14ac:dyDescent="0.3">
      <c r="A715" s="1852" t="s">
        <v>2920</v>
      </c>
      <c r="B715" s="1462"/>
      <c r="C715" s="1456">
        <v>4256</v>
      </c>
      <c r="D715" s="1456">
        <v>4256</v>
      </c>
      <c r="E715" s="1462"/>
      <c r="O715" s="1541">
        <f t="shared" si="20"/>
        <v>0</v>
      </c>
      <c r="P715" s="1541">
        <f t="shared" si="20"/>
        <v>4256</v>
      </c>
      <c r="Q715" s="1541">
        <f t="shared" si="20"/>
        <v>4256</v>
      </c>
      <c r="R715" s="1541">
        <f t="shared" si="20"/>
        <v>0</v>
      </c>
    </row>
    <row r="716" spans="1:18" x14ac:dyDescent="0.3">
      <c r="A716" s="1852" t="s">
        <v>2921</v>
      </c>
      <c r="B716" s="1462"/>
      <c r="C716" s="1456">
        <v>8775</v>
      </c>
      <c r="D716" s="1456">
        <v>8775</v>
      </c>
      <c r="E716" s="1462"/>
      <c r="O716" s="1541">
        <f t="shared" si="20"/>
        <v>0</v>
      </c>
      <c r="P716" s="1541">
        <f t="shared" si="20"/>
        <v>8775</v>
      </c>
      <c r="Q716" s="1541">
        <f t="shared" si="20"/>
        <v>8775</v>
      </c>
      <c r="R716" s="1541">
        <f t="shared" si="20"/>
        <v>0</v>
      </c>
    </row>
    <row r="717" spans="1:18" x14ac:dyDescent="0.3">
      <c r="A717" s="1852" t="s">
        <v>2922</v>
      </c>
      <c r="B717" s="1462"/>
      <c r="C717" s="1456">
        <v>675</v>
      </c>
      <c r="D717" s="1456">
        <v>675</v>
      </c>
      <c r="E717" s="1462"/>
      <c r="O717" s="1541">
        <f t="shared" si="20"/>
        <v>0</v>
      </c>
      <c r="P717" s="1541">
        <f t="shared" si="20"/>
        <v>675</v>
      </c>
      <c r="Q717" s="1541">
        <f t="shared" si="20"/>
        <v>675</v>
      </c>
      <c r="R717" s="1541">
        <f t="shared" si="20"/>
        <v>0</v>
      </c>
    </row>
    <row r="718" spans="1:18" x14ac:dyDescent="0.3">
      <c r="A718" s="1852" t="s">
        <v>2923</v>
      </c>
      <c r="B718" s="1462"/>
      <c r="C718" s="1456">
        <v>3003</v>
      </c>
      <c r="D718" s="1456">
        <v>3003</v>
      </c>
      <c r="E718" s="1462"/>
      <c r="O718" s="1541">
        <f t="shared" si="20"/>
        <v>0</v>
      </c>
      <c r="P718" s="1541">
        <f t="shared" si="20"/>
        <v>3003</v>
      </c>
      <c r="Q718" s="1541">
        <f t="shared" si="20"/>
        <v>3003</v>
      </c>
      <c r="R718" s="1541">
        <f t="shared" si="20"/>
        <v>0</v>
      </c>
    </row>
    <row r="719" spans="1:18" x14ac:dyDescent="0.3">
      <c r="A719" s="1852" t="s">
        <v>2924</v>
      </c>
      <c r="B719" s="1462"/>
      <c r="C719" s="1456">
        <v>180</v>
      </c>
      <c r="D719" s="1456">
        <v>180</v>
      </c>
      <c r="E719" s="1462"/>
      <c r="O719" s="1541">
        <f t="shared" si="20"/>
        <v>0</v>
      </c>
      <c r="P719" s="1541">
        <f t="shared" si="20"/>
        <v>180</v>
      </c>
      <c r="Q719" s="1541">
        <f t="shared" si="20"/>
        <v>180</v>
      </c>
      <c r="R719" s="1541">
        <f t="shared" si="20"/>
        <v>0</v>
      </c>
    </row>
    <row r="720" spans="1:18" x14ac:dyDescent="0.3">
      <c r="A720" s="1852" t="s">
        <v>2925</v>
      </c>
      <c r="B720" s="1462"/>
      <c r="C720" s="1456">
        <v>242</v>
      </c>
      <c r="D720" s="1456">
        <v>242</v>
      </c>
      <c r="E720" s="1462"/>
      <c r="O720" s="1541">
        <f t="shared" si="20"/>
        <v>0</v>
      </c>
      <c r="P720" s="1541">
        <f t="shared" si="20"/>
        <v>242</v>
      </c>
      <c r="Q720" s="1541">
        <f t="shared" si="20"/>
        <v>242</v>
      </c>
      <c r="R720" s="1541">
        <f t="shared" si="20"/>
        <v>0</v>
      </c>
    </row>
    <row r="721" spans="1:18" x14ac:dyDescent="0.3">
      <c r="A721" s="1852" t="s">
        <v>2926</v>
      </c>
      <c r="B721" s="1462"/>
      <c r="C721" s="1456">
        <v>6226</v>
      </c>
      <c r="D721" s="1456">
        <v>6226</v>
      </c>
      <c r="E721" s="1462"/>
      <c r="O721" s="1541">
        <f t="shared" si="20"/>
        <v>0</v>
      </c>
      <c r="P721" s="1541">
        <f t="shared" si="20"/>
        <v>6226</v>
      </c>
      <c r="Q721" s="1541">
        <f t="shared" si="20"/>
        <v>6226</v>
      </c>
      <c r="R721" s="1541">
        <f t="shared" si="20"/>
        <v>0</v>
      </c>
    </row>
    <row r="722" spans="1:18" x14ac:dyDescent="0.3">
      <c r="A722" s="1852" t="s">
        <v>2927</v>
      </c>
      <c r="B722" s="1462"/>
      <c r="C722" s="1456">
        <v>23440</v>
      </c>
      <c r="D722" s="1456">
        <v>23440</v>
      </c>
      <c r="E722" s="1462"/>
      <c r="O722" s="1541">
        <f t="shared" si="20"/>
        <v>0</v>
      </c>
      <c r="P722" s="1541">
        <f t="shared" si="20"/>
        <v>23440</v>
      </c>
      <c r="Q722" s="1541">
        <f t="shared" si="20"/>
        <v>23440</v>
      </c>
      <c r="R722" s="1541">
        <f t="shared" si="20"/>
        <v>0</v>
      </c>
    </row>
    <row r="723" spans="1:18" x14ac:dyDescent="0.3">
      <c r="A723" s="1852" t="s">
        <v>2928</v>
      </c>
      <c r="B723" s="1462"/>
      <c r="C723" s="1456">
        <v>446</v>
      </c>
      <c r="D723" s="1456">
        <v>446</v>
      </c>
      <c r="E723" s="1462"/>
      <c r="O723" s="1541">
        <f t="shared" si="20"/>
        <v>0</v>
      </c>
      <c r="P723" s="1541">
        <f t="shared" si="20"/>
        <v>446</v>
      </c>
      <c r="Q723" s="1541">
        <f t="shared" si="20"/>
        <v>446</v>
      </c>
      <c r="R723" s="1541">
        <f t="shared" si="20"/>
        <v>0</v>
      </c>
    </row>
    <row r="724" spans="1:18" x14ac:dyDescent="0.3">
      <c r="A724" s="1852" t="s">
        <v>2929</v>
      </c>
      <c r="B724" s="1462"/>
      <c r="C724" s="1456">
        <v>12842</v>
      </c>
      <c r="D724" s="1456">
        <v>12842</v>
      </c>
      <c r="E724" s="1462"/>
      <c r="O724" s="1541">
        <f t="shared" si="20"/>
        <v>0</v>
      </c>
      <c r="P724" s="1541">
        <f t="shared" si="20"/>
        <v>12842</v>
      </c>
      <c r="Q724" s="1541">
        <f t="shared" si="20"/>
        <v>12842</v>
      </c>
      <c r="R724" s="1541">
        <f t="shared" si="20"/>
        <v>0</v>
      </c>
    </row>
    <row r="725" spans="1:18" x14ac:dyDescent="0.3">
      <c r="A725" s="1855" t="s">
        <v>2930</v>
      </c>
      <c r="B725" s="1462"/>
      <c r="C725" s="1456">
        <v>24810</v>
      </c>
      <c r="D725" s="1456">
        <v>24810</v>
      </c>
      <c r="E725" s="1462"/>
      <c r="O725" s="1541">
        <f t="shared" si="20"/>
        <v>0</v>
      </c>
      <c r="P725" s="1541">
        <f t="shared" si="20"/>
        <v>24810</v>
      </c>
      <c r="Q725" s="1541">
        <f t="shared" si="20"/>
        <v>24810</v>
      </c>
      <c r="R725" s="1541">
        <f t="shared" si="20"/>
        <v>0</v>
      </c>
    </row>
    <row r="726" spans="1:18" x14ac:dyDescent="0.3">
      <c r="A726" s="1852" t="s">
        <v>2931</v>
      </c>
      <c r="B726" s="1462"/>
      <c r="C726" s="1456">
        <v>24750</v>
      </c>
      <c r="D726" s="1456">
        <v>24750</v>
      </c>
      <c r="E726" s="1462"/>
      <c r="O726" s="1541">
        <f t="shared" si="20"/>
        <v>0</v>
      </c>
      <c r="P726" s="1541">
        <f t="shared" si="20"/>
        <v>24750</v>
      </c>
      <c r="Q726" s="1541">
        <f t="shared" si="20"/>
        <v>24750</v>
      </c>
      <c r="R726" s="1541">
        <f t="shared" si="20"/>
        <v>0</v>
      </c>
    </row>
    <row r="727" spans="1:18" x14ac:dyDescent="0.3">
      <c r="A727" s="1852" t="s">
        <v>2932</v>
      </c>
      <c r="B727" s="1462"/>
      <c r="C727" s="1456">
        <v>8868</v>
      </c>
      <c r="D727" s="1456">
        <v>8868</v>
      </c>
      <c r="E727" s="1462"/>
      <c r="O727" s="1541">
        <f t="shared" si="20"/>
        <v>0</v>
      </c>
      <c r="P727" s="1541">
        <f t="shared" si="20"/>
        <v>8868</v>
      </c>
      <c r="Q727" s="1541">
        <f t="shared" si="20"/>
        <v>8868</v>
      </c>
      <c r="R727" s="1541">
        <f t="shared" si="20"/>
        <v>0</v>
      </c>
    </row>
    <row r="728" spans="1:18" x14ac:dyDescent="0.3">
      <c r="A728" s="1852" t="s">
        <v>2933</v>
      </c>
      <c r="B728" s="1462"/>
      <c r="C728" s="1456">
        <v>930.01</v>
      </c>
      <c r="D728" s="1456">
        <v>930</v>
      </c>
      <c r="E728" s="1896">
        <v>0.01</v>
      </c>
      <c r="O728" s="1541">
        <f t="shared" si="20"/>
        <v>0</v>
      </c>
      <c r="P728" s="1541">
        <f t="shared" si="20"/>
        <v>930.01</v>
      </c>
      <c r="Q728" s="1541">
        <f t="shared" si="20"/>
        <v>930</v>
      </c>
      <c r="R728" s="1541">
        <f t="shared" si="20"/>
        <v>0.01</v>
      </c>
    </row>
    <row r="729" spans="1:18" x14ac:dyDescent="0.3">
      <c r="A729" s="1852" t="s">
        <v>2934</v>
      </c>
      <c r="B729" s="1462"/>
      <c r="C729" s="1456">
        <v>140</v>
      </c>
      <c r="D729" s="1456">
        <v>140</v>
      </c>
      <c r="E729" s="1462"/>
      <c r="O729" s="1541">
        <f t="shared" si="20"/>
        <v>0</v>
      </c>
      <c r="P729" s="1541">
        <f t="shared" si="20"/>
        <v>140</v>
      </c>
      <c r="Q729" s="1541">
        <f t="shared" si="20"/>
        <v>140</v>
      </c>
      <c r="R729" s="1541">
        <f t="shared" si="20"/>
        <v>0</v>
      </c>
    </row>
    <row r="730" spans="1:18" x14ac:dyDescent="0.3">
      <c r="A730" s="1852" t="s">
        <v>2935</v>
      </c>
      <c r="B730" s="1462"/>
      <c r="C730" s="1456">
        <v>3130</v>
      </c>
      <c r="D730" s="1456">
        <v>3130</v>
      </c>
      <c r="E730" s="1462"/>
      <c r="O730" s="1541">
        <f t="shared" si="20"/>
        <v>0</v>
      </c>
      <c r="P730" s="1541">
        <f t="shared" si="20"/>
        <v>3130</v>
      </c>
      <c r="Q730" s="1541">
        <f t="shared" si="20"/>
        <v>3130</v>
      </c>
      <c r="R730" s="1541">
        <f t="shared" si="20"/>
        <v>0</v>
      </c>
    </row>
    <row r="731" spans="1:18" x14ac:dyDescent="0.3">
      <c r="A731" s="1852" t="s">
        <v>2936</v>
      </c>
      <c r="B731" s="1462"/>
      <c r="C731" s="1456">
        <v>826</v>
      </c>
      <c r="D731" s="1456">
        <v>826</v>
      </c>
      <c r="E731" s="1462"/>
      <c r="O731" s="1541">
        <f t="shared" si="20"/>
        <v>0</v>
      </c>
      <c r="P731" s="1541">
        <f t="shared" si="20"/>
        <v>826</v>
      </c>
      <c r="Q731" s="1541">
        <f t="shared" si="20"/>
        <v>826</v>
      </c>
      <c r="R731" s="1541">
        <f t="shared" si="20"/>
        <v>0</v>
      </c>
    </row>
    <row r="732" spans="1:18" x14ac:dyDescent="0.3">
      <c r="A732" s="1852" t="s">
        <v>2937</v>
      </c>
      <c r="B732" s="1462"/>
      <c r="C732" s="1456">
        <v>256000</v>
      </c>
      <c r="D732" s="1456">
        <v>256000</v>
      </c>
      <c r="E732" s="1462"/>
      <c r="O732" s="1541">
        <f t="shared" si="20"/>
        <v>0</v>
      </c>
      <c r="P732" s="1541">
        <f t="shared" si="20"/>
        <v>256000</v>
      </c>
      <c r="Q732" s="1541">
        <f t="shared" si="20"/>
        <v>256000</v>
      </c>
      <c r="R732" s="1541">
        <f t="shared" si="20"/>
        <v>0</v>
      </c>
    </row>
    <row r="733" spans="1:18" x14ac:dyDescent="0.3">
      <c r="A733" s="1855" t="s">
        <v>2938</v>
      </c>
      <c r="B733" s="1462"/>
      <c r="C733" s="1456">
        <v>79690</v>
      </c>
      <c r="D733" s="1456">
        <v>78689.960000000006</v>
      </c>
      <c r="E733" s="1896">
        <v>1000.04</v>
      </c>
      <c r="O733" s="1541">
        <f t="shared" si="20"/>
        <v>0</v>
      </c>
      <c r="P733" s="1541">
        <f t="shared" si="20"/>
        <v>79690</v>
      </c>
      <c r="Q733" s="1541">
        <f t="shared" si="20"/>
        <v>78689.960000000006</v>
      </c>
      <c r="R733" s="1541">
        <f t="shared" si="20"/>
        <v>1000.04</v>
      </c>
    </row>
    <row r="734" spans="1:18" x14ac:dyDescent="0.3">
      <c r="A734" s="1852" t="s">
        <v>2939</v>
      </c>
      <c r="B734" s="1462"/>
      <c r="C734" s="1456">
        <v>1226</v>
      </c>
      <c r="D734" s="1456">
        <v>1226</v>
      </c>
      <c r="E734" s="1462"/>
      <c r="O734" s="1541">
        <f t="shared" si="20"/>
        <v>0</v>
      </c>
      <c r="P734" s="1541">
        <f t="shared" si="20"/>
        <v>1226</v>
      </c>
      <c r="Q734" s="1541">
        <f t="shared" si="20"/>
        <v>1226</v>
      </c>
      <c r="R734" s="1541">
        <f t="shared" si="20"/>
        <v>0</v>
      </c>
    </row>
    <row r="735" spans="1:18" x14ac:dyDescent="0.3">
      <c r="A735" s="1852" t="s">
        <v>2940</v>
      </c>
      <c r="B735" s="1462"/>
      <c r="C735" s="1456">
        <v>660</v>
      </c>
      <c r="D735" s="1456">
        <v>660</v>
      </c>
      <c r="E735" s="1462"/>
      <c r="O735" s="1541">
        <f t="shared" si="20"/>
        <v>0</v>
      </c>
      <c r="P735" s="1541">
        <f t="shared" si="20"/>
        <v>660</v>
      </c>
      <c r="Q735" s="1541">
        <f t="shared" si="20"/>
        <v>660</v>
      </c>
      <c r="R735" s="1541">
        <f t="shared" si="20"/>
        <v>0</v>
      </c>
    </row>
    <row r="736" spans="1:18" x14ac:dyDescent="0.3">
      <c r="A736" s="1852" t="s">
        <v>2941</v>
      </c>
      <c r="B736" s="1462"/>
      <c r="C736" s="1456">
        <v>11246</v>
      </c>
      <c r="D736" s="1456">
        <v>11246</v>
      </c>
      <c r="E736" s="1462"/>
      <c r="O736" s="1541">
        <f t="shared" si="20"/>
        <v>0</v>
      </c>
      <c r="P736" s="1541">
        <f t="shared" si="20"/>
        <v>11246</v>
      </c>
      <c r="Q736" s="1541">
        <f t="shared" si="20"/>
        <v>11246</v>
      </c>
      <c r="R736" s="1541">
        <f t="shared" si="20"/>
        <v>0</v>
      </c>
    </row>
    <row r="737" spans="1:18" x14ac:dyDescent="0.3">
      <c r="A737" s="1852" t="s">
        <v>2942</v>
      </c>
      <c r="B737" s="1462"/>
      <c r="C737" s="1456">
        <v>876</v>
      </c>
      <c r="D737" s="1456">
        <v>876</v>
      </c>
      <c r="E737" s="1462"/>
      <c r="O737" s="1541">
        <f t="shared" si="20"/>
        <v>0</v>
      </c>
      <c r="P737" s="1541">
        <f t="shared" si="20"/>
        <v>876</v>
      </c>
      <c r="Q737" s="1541">
        <f t="shared" si="20"/>
        <v>876</v>
      </c>
      <c r="R737" s="1541">
        <f t="shared" si="20"/>
        <v>0</v>
      </c>
    </row>
    <row r="738" spans="1:18" x14ac:dyDescent="0.3">
      <c r="A738" s="1852" t="s">
        <v>2943</v>
      </c>
      <c r="B738" s="1462"/>
      <c r="C738" s="1456">
        <v>366</v>
      </c>
      <c r="D738" s="1456">
        <v>366</v>
      </c>
      <c r="E738" s="1462"/>
      <c r="O738" s="1541">
        <f t="shared" si="20"/>
        <v>0</v>
      </c>
      <c r="P738" s="1541">
        <f t="shared" si="20"/>
        <v>366</v>
      </c>
      <c r="Q738" s="1541">
        <f t="shared" si="20"/>
        <v>366</v>
      </c>
      <c r="R738" s="1541">
        <f t="shared" si="20"/>
        <v>0</v>
      </c>
    </row>
    <row r="739" spans="1:18" x14ac:dyDescent="0.3">
      <c r="A739" s="1852" t="s">
        <v>2944</v>
      </c>
      <c r="B739" s="1462"/>
      <c r="C739" s="1456">
        <v>306</v>
      </c>
      <c r="D739" s="1456">
        <v>306</v>
      </c>
      <c r="E739" s="1462"/>
      <c r="O739" s="1541">
        <f t="shared" si="20"/>
        <v>0</v>
      </c>
      <c r="P739" s="1541">
        <f t="shared" si="20"/>
        <v>306</v>
      </c>
      <c r="Q739" s="1541">
        <f t="shared" si="20"/>
        <v>306</v>
      </c>
      <c r="R739" s="1541">
        <f t="shared" si="20"/>
        <v>0</v>
      </c>
    </row>
    <row r="740" spans="1:18" x14ac:dyDescent="0.3">
      <c r="A740" s="1852" t="s">
        <v>2945</v>
      </c>
      <c r="B740" s="1462"/>
      <c r="C740" s="1456">
        <v>3080</v>
      </c>
      <c r="D740" s="1456">
        <v>3080</v>
      </c>
      <c r="E740" s="1462"/>
      <c r="O740" s="1541">
        <f t="shared" si="20"/>
        <v>0</v>
      </c>
      <c r="P740" s="1541">
        <f t="shared" si="20"/>
        <v>3080</v>
      </c>
      <c r="Q740" s="1541">
        <f t="shared" si="20"/>
        <v>3080</v>
      </c>
      <c r="R740" s="1541">
        <f t="shared" si="20"/>
        <v>0</v>
      </c>
    </row>
    <row r="741" spans="1:18" x14ac:dyDescent="0.3">
      <c r="A741" s="1852" t="s">
        <v>2946</v>
      </c>
      <c r="B741" s="1462"/>
      <c r="C741" s="1456">
        <v>17820</v>
      </c>
      <c r="D741" s="1456">
        <v>17820</v>
      </c>
      <c r="E741" s="1462"/>
      <c r="O741" s="1541">
        <f t="shared" si="20"/>
        <v>0</v>
      </c>
      <c r="P741" s="1541">
        <f t="shared" si="20"/>
        <v>17820</v>
      </c>
      <c r="Q741" s="1541">
        <f t="shared" si="20"/>
        <v>17820</v>
      </c>
      <c r="R741" s="1541">
        <f t="shared" si="20"/>
        <v>0</v>
      </c>
    </row>
    <row r="742" spans="1:18" x14ac:dyDescent="0.3">
      <c r="A742" s="1852" t="s">
        <v>2947</v>
      </c>
      <c r="B742" s="1462"/>
      <c r="C742" s="1456">
        <v>74650</v>
      </c>
      <c r="D742" s="1456">
        <v>74650</v>
      </c>
      <c r="E742" s="1462"/>
      <c r="O742" s="1541">
        <f t="shared" si="20"/>
        <v>0</v>
      </c>
      <c r="P742" s="1541">
        <f t="shared" si="20"/>
        <v>74650</v>
      </c>
      <c r="Q742" s="1541">
        <f t="shared" si="20"/>
        <v>74650</v>
      </c>
      <c r="R742" s="1541">
        <f t="shared" si="20"/>
        <v>0</v>
      </c>
    </row>
    <row r="743" spans="1:18" x14ac:dyDescent="0.3">
      <c r="A743" s="1852" t="s">
        <v>2948</v>
      </c>
      <c r="B743" s="1462"/>
      <c r="C743" s="1456">
        <v>2420</v>
      </c>
      <c r="D743" s="1456">
        <v>2420</v>
      </c>
      <c r="E743" s="1462"/>
      <c r="O743" s="1541">
        <f t="shared" si="20"/>
        <v>0</v>
      </c>
      <c r="P743" s="1541">
        <f t="shared" si="20"/>
        <v>2420</v>
      </c>
      <c r="Q743" s="1541">
        <f t="shared" si="20"/>
        <v>2420</v>
      </c>
      <c r="R743" s="1541">
        <f t="shared" si="20"/>
        <v>0</v>
      </c>
    </row>
    <row r="744" spans="1:18" x14ac:dyDescent="0.3">
      <c r="A744" s="1852" t="s">
        <v>2949</v>
      </c>
      <c r="B744" s="1462"/>
      <c r="C744" s="1456">
        <v>712</v>
      </c>
      <c r="D744" s="1456">
        <v>712</v>
      </c>
      <c r="E744" s="1462"/>
      <c r="O744" s="1541">
        <f t="shared" si="20"/>
        <v>0</v>
      </c>
      <c r="P744" s="1541">
        <f t="shared" si="20"/>
        <v>712</v>
      </c>
      <c r="Q744" s="1541">
        <f t="shared" si="20"/>
        <v>712</v>
      </c>
      <c r="R744" s="1541">
        <f t="shared" si="20"/>
        <v>0</v>
      </c>
    </row>
    <row r="745" spans="1:18" x14ac:dyDescent="0.3">
      <c r="A745" s="1852" t="s">
        <v>2950</v>
      </c>
      <c r="B745" s="1462"/>
      <c r="C745" s="1456">
        <v>33940</v>
      </c>
      <c r="D745" s="1456">
        <v>33940</v>
      </c>
      <c r="E745" s="1462"/>
      <c r="O745" s="1541">
        <f t="shared" si="20"/>
        <v>0</v>
      </c>
      <c r="P745" s="1541">
        <f t="shared" si="20"/>
        <v>33940</v>
      </c>
      <c r="Q745" s="1541">
        <f t="shared" si="20"/>
        <v>33940</v>
      </c>
      <c r="R745" s="1541">
        <f t="shared" si="20"/>
        <v>0</v>
      </c>
    </row>
    <row r="746" spans="1:18" x14ac:dyDescent="0.3">
      <c r="A746" s="1855" t="s">
        <v>2951</v>
      </c>
      <c r="B746" s="1462"/>
      <c r="C746" s="1456">
        <v>191525</v>
      </c>
      <c r="D746" s="1456">
        <v>191525</v>
      </c>
      <c r="E746" s="1462"/>
      <c r="O746" s="1541">
        <f t="shared" si="20"/>
        <v>0</v>
      </c>
      <c r="P746" s="1541">
        <f t="shared" si="20"/>
        <v>191525</v>
      </c>
      <c r="Q746" s="1541">
        <f t="shared" si="20"/>
        <v>191525</v>
      </c>
      <c r="R746" s="1541">
        <f t="shared" si="20"/>
        <v>0</v>
      </c>
    </row>
    <row r="747" spans="1:18" x14ac:dyDescent="0.3">
      <c r="A747" s="1852" t="s">
        <v>2952</v>
      </c>
      <c r="B747" s="1462"/>
      <c r="C747" s="1456">
        <v>2067</v>
      </c>
      <c r="D747" s="1456">
        <v>2067</v>
      </c>
      <c r="E747" s="1462"/>
      <c r="O747" s="1541">
        <f t="shared" si="20"/>
        <v>0</v>
      </c>
      <c r="P747" s="1541">
        <f t="shared" si="20"/>
        <v>2067</v>
      </c>
      <c r="Q747" s="1541">
        <f t="shared" si="20"/>
        <v>2067</v>
      </c>
      <c r="R747" s="1541">
        <f t="shared" si="20"/>
        <v>0</v>
      </c>
    </row>
    <row r="748" spans="1:18" x14ac:dyDescent="0.3">
      <c r="A748" s="1855" t="s">
        <v>2953</v>
      </c>
      <c r="B748" s="1462"/>
      <c r="C748" s="1456">
        <v>2366</v>
      </c>
      <c r="D748" s="1456">
        <v>2366</v>
      </c>
      <c r="E748" s="1462"/>
      <c r="O748" s="1541">
        <f t="shared" si="20"/>
        <v>0</v>
      </c>
      <c r="P748" s="1541">
        <f t="shared" si="20"/>
        <v>2366</v>
      </c>
      <c r="Q748" s="1541">
        <f t="shared" si="20"/>
        <v>2366</v>
      </c>
      <c r="R748" s="1541">
        <f t="shared" si="20"/>
        <v>0</v>
      </c>
    </row>
    <row r="749" spans="1:18" x14ac:dyDescent="0.3">
      <c r="A749" s="1855" t="s">
        <v>2954</v>
      </c>
      <c r="B749" s="1462"/>
      <c r="C749" s="1456">
        <v>480</v>
      </c>
      <c r="D749" s="1456">
        <v>480</v>
      </c>
      <c r="E749" s="1462"/>
      <c r="O749" s="1541">
        <f t="shared" si="20"/>
        <v>0</v>
      </c>
      <c r="P749" s="1541">
        <f t="shared" si="20"/>
        <v>480</v>
      </c>
      <c r="Q749" s="1541">
        <f t="shared" si="20"/>
        <v>480</v>
      </c>
      <c r="R749" s="1541">
        <f t="shared" si="20"/>
        <v>0</v>
      </c>
    </row>
    <row r="750" spans="1:18" x14ac:dyDescent="0.3">
      <c r="A750" s="1852" t="s">
        <v>2955</v>
      </c>
      <c r="B750" s="1462"/>
      <c r="C750" s="1456">
        <v>892</v>
      </c>
      <c r="D750" s="1456">
        <v>892</v>
      </c>
      <c r="E750" s="1462"/>
      <c r="O750" s="1541">
        <f t="shared" si="20"/>
        <v>0</v>
      </c>
      <c r="P750" s="1541">
        <f t="shared" si="20"/>
        <v>892</v>
      </c>
      <c r="Q750" s="1541">
        <f t="shared" si="20"/>
        <v>892</v>
      </c>
      <c r="R750" s="1541">
        <f t="shared" ref="R750:R813" si="21">E750+L750</f>
        <v>0</v>
      </c>
    </row>
    <row r="751" spans="1:18" x14ac:dyDescent="0.3">
      <c r="A751" s="1852" t="s">
        <v>2956</v>
      </c>
      <c r="B751" s="1462"/>
      <c r="C751" s="1456">
        <v>166</v>
      </c>
      <c r="D751" s="1456">
        <v>166</v>
      </c>
      <c r="E751" s="1462"/>
      <c r="O751" s="1541">
        <f t="shared" ref="O751:R814" si="22">B751+I751</f>
        <v>0</v>
      </c>
      <c r="P751" s="1541">
        <f t="shared" si="22"/>
        <v>166</v>
      </c>
      <c r="Q751" s="1541">
        <f t="shared" si="22"/>
        <v>166</v>
      </c>
      <c r="R751" s="1541">
        <f t="shared" si="21"/>
        <v>0</v>
      </c>
    </row>
    <row r="752" spans="1:18" x14ac:dyDescent="0.3">
      <c r="A752" s="1852" t="s">
        <v>2957</v>
      </c>
      <c r="B752" s="1462"/>
      <c r="C752" s="1456">
        <v>339027.06</v>
      </c>
      <c r="D752" s="1456">
        <v>339027</v>
      </c>
      <c r="E752" s="1896">
        <v>0.06</v>
      </c>
      <c r="O752" s="1541">
        <f t="shared" si="22"/>
        <v>0</v>
      </c>
      <c r="P752" s="1541">
        <f t="shared" si="22"/>
        <v>339027.06</v>
      </c>
      <c r="Q752" s="1541">
        <f t="shared" si="22"/>
        <v>339027</v>
      </c>
      <c r="R752" s="1541">
        <f t="shared" si="21"/>
        <v>0.06</v>
      </c>
    </row>
    <row r="753" spans="1:18" x14ac:dyDescent="0.3">
      <c r="A753" s="1855" t="s">
        <v>2958</v>
      </c>
      <c r="B753" s="1462"/>
      <c r="C753" s="1456">
        <v>6030</v>
      </c>
      <c r="D753" s="1456">
        <v>6030</v>
      </c>
      <c r="E753" s="1462"/>
      <c r="O753" s="1541">
        <f t="shared" si="22"/>
        <v>0</v>
      </c>
      <c r="P753" s="1541">
        <f t="shared" si="22"/>
        <v>6030</v>
      </c>
      <c r="Q753" s="1541">
        <f t="shared" si="22"/>
        <v>6030</v>
      </c>
      <c r="R753" s="1541">
        <f t="shared" si="21"/>
        <v>0</v>
      </c>
    </row>
    <row r="754" spans="1:18" x14ac:dyDescent="0.3">
      <c r="A754" s="1852" t="s">
        <v>2959</v>
      </c>
      <c r="B754" s="1462"/>
      <c r="C754" s="1456">
        <v>1602</v>
      </c>
      <c r="D754" s="1456">
        <v>1602</v>
      </c>
      <c r="E754" s="1462"/>
      <c r="O754" s="1541">
        <f t="shared" si="22"/>
        <v>0</v>
      </c>
      <c r="P754" s="1541">
        <f t="shared" si="22"/>
        <v>1602</v>
      </c>
      <c r="Q754" s="1541">
        <f t="shared" si="22"/>
        <v>1602</v>
      </c>
      <c r="R754" s="1541">
        <f t="shared" si="21"/>
        <v>0</v>
      </c>
    </row>
    <row r="755" spans="1:18" x14ac:dyDescent="0.3">
      <c r="A755" s="1852" t="s">
        <v>2960</v>
      </c>
      <c r="B755" s="1462"/>
      <c r="C755" s="1456">
        <v>1030</v>
      </c>
      <c r="D755" s="1456">
        <v>1030</v>
      </c>
      <c r="E755" s="1462"/>
      <c r="O755" s="1541">
        <f t="shared" si="22"/>
        <v>0</v>
      </c>
      <c r="P755" s="1541">
        <f t="shared" si="22"/>
        <v>1030</v>
      </c>
      <c r="Q755" s="1541">
        <f t="shared" si="22"/>
        <v>1030</v>
      </c>
      <c r="R755" s="1541">
        <f t="shared" si="21"/>
        <v>0</v>
      </c>
    </row>
    <row r="756" spans="1:18" x14ac:dyDescent="0.3">
      <c r="A756" s="1852" t="s">
        <v>2961</v>
      </c>
      <c r="B756" s="1462"/>
      <c r="C756" s="1456">
        <v>25379.01</v>
      </c>
      <c r="D756" s="1456">
        <v>25378.95</v>
      </c>
      <c r="E756" s="1896">
        <v>0.06</v>
      </c>
      <c r="O756" s="1541">
        <f t="shared" si="22"/>
        <v>0</v>
      </c>
      <c r="P756" s="1541">
        <f t="shared" si="22"/>
        <v>25379.01</v>
      </c>
      <c r="Q756" s="1541">
        <f t="shared" si="22"/>
        <v>25378.95</v>
      </c>
      <c r="R756" s="1541">
        <f t="shared" si="21"/>
        <v>0.06</v>
      </c>
    </row>
    <row r="757" spans="1:18" x14ac:dyDescent="0.3">
      <c r="A757" s="1855" t="s">
        <v>2962</v>
      </c>
      <c r="B757" s="1462"/>
      <c r="C757" s="1456">
        <v>6830</v>
      </c>
      <c r="D757" s="1456">
        <v>6830</v>
      </c>
      <c r="E757" s="1462"/>
      <c r="O757" s="1541">
        <f t="shared" si="22"/>
        <v>0</v>
      </c>
      <c r="P757" s="1541">
        <f t="shared" si="22"/>
        <v>6830</v>
      </c>
      <c r="Q757" s="1541">
        <f t="shared" si="22"/>
        <v>6830</v>
      </c>
      <c r="R757" s="1541">
        <f t="shared" si="21"/>
        <v>0</v>
      </c>
    </row>
    <row r="758" spans="1:18" x14ac:dyDescent="0.3">
      <c r="A758" s="1852" t="s">
        <v>2963</v>
      </c>
      <c r="B758" s="1462"/>
      <c r="C758" s="1456">
        <v>306</v>
      </c>
      <c r="D758" s="1456">
        <v>306</v>
      </c>
      <c r="E758" s="1462"/>
      <c r="O758" s="1541">
        <f t="shared" si="22"/>
        <v>0</v>
      </c>
      <c r="P758" s="1541">
        <f t="shared" si="22"/>
        <v>306</v>
      </c>
      <c r="Q758" s="1541">
        <f t="shared" si="22"/>
        <v>306</v>
      </c>
      <c r="R758" s="1541">
        <f t="shared" si="21"/>
        <v>0</v>
      </c>
    </row>
    <row r="759" spans="1:18" x14ac:dyDescent="0.3">
      <c r="A759" s="1855" t="s">
        <v>2964</v>
      </c>
      <c r="B759" s="1462"/>
      <c r="C759" s="1456">
        <v>3506</v>
      </c>
      <c r="D759" s="1456">
        <v>3506</v>
      </c>
      <c r="E759" s="1462"/>
      <c r="O759" s="1541">
        <f t="shared" si="22"/>
        <v>0</v>
      </c>
      <c r="P759" s="1541">
        <f t="shared" si="22"/>
        <v>3506</v>
      </c>
      <c r="Q759" s="1541">
        <f t="shared" si="22"/>
        <v>3506</v>
      </c>
      <c r="R759" s="1541">
        <f t="shared" si="21"/>
        <v>0</v>
      </c>
    </row>
    <row r="760" spans="1:18" x14ac:dyDescent="0.3">
      <c r="A760" s="1852" t="s">
        <v>2965</v>
      </c>
      <c r="B760" s="1462"/>
      <c r="C760" s="1456">
        <v>7864</v>
      </c>
      <c r="D760" s="1456">
        <v>7864</v>
      </c>
      <c r="E760" s="1462"/>
      <c r="O760" s="1541">
        <f t="shared" si="22"/>
        <v>0</v>
      </c>
      <c r="P760" s="1541">
        <f t="shared" si="22"/>
        <v>7864</v>
      </c>
      <c r="Q760" s="1541">
        <f t="shared" si="22"/>
        <v>7864</v>
      </c>
      <c r="R760" s="1541">
        <f t="shared" si="21"/>
        <v>0</v>
      </c>
    </row>
    <row r="761" spans="1:18" x14ac:dyDescent="0.3">
      <c r="A761" s="1852" t="s">
        <v>2966</v>
      </c>
      <c r="B761" s="1462"/>
      <c r="C761" s="1456">
        <v>540</v>
      </c>
      <c r="D761" s="1456">
        <v>540</v>
      </c>
      <c r="E761" s="1462"/>
      <c r="O761" s="1541">
        <f t="shared" si="22"/>
        <v>0</v>
      </c>
      <c r="P761" s="1541">
        <f t="shared" si="22"/>
        <v>540</v>
      </c>
      <c r="Q761" s="1541">
        <f t="shared" si="22"/>
        <v>540</v>
      </c>
      <c r="R761" s="1541">
        <f t="shared" si="21"/>
        <v>0</v>
      </c>
    </row>
    <row r="762" spans="1:18" x14ac:dyDescent="0.3">
      <c r="A762" s="1852" t="s">
        <v>2967</v>
      </c>
      <c r="B762" s="1462"/>
      <c r="C762" s="1456">
        <v>7470</v>
      </c>
      <c r="D762" s="1456">
        <v>7470</v>
      </c>
      <c r="E762" s="1462"/>
      <c r="O762" s="1541">
        <f t="shared" si="22"/>
        <v>0</v>
      </c>
      <c r="P762" s="1541">
        <f t="shared" si="22"/>
        <v>7470</v>
      </c>
      <c r="Q762" s="1541">
        <f t="shared" si="22"/>
        <v>7470</v>
      </c>
      <c r="R762" s="1541">
        <f t="shared" si="21"/>
        <v>0</v>
      </c>
    </row>
    <row r="763" spans="1:18" x14ac:dyDescent="0.3">
      <c r="A763" s="1852" t="s">
        <v>2968</v>
      </c>
      <c r="B763" s="1462"/>
      <c r="C763" s="1456">
        <v>13188</v>
      </c>
      <c r="D763" s="1456">
        <v>13188</v>
      </c>
      <c r="E763" s="1462"/>
      <c r="O763" s="1541">
        <f t="shared" si="22"/>
        <v>0</v>
      </c>
      <c r="P763" s="1541">
        <f t="shared" si="22"/>
        <v>13188</v>
      </c>
      <c r="Q763" s="1541">
        <f t="shared" si="22"/>
        <v>13188</v>
      </c>
      <c r="R763" s="1541">
        <f t="shared" si="21"/>
        <v>0</v>
      </c>
    </row>
    <row r="764" spans="1:18" x14ac:dyDescent="0.3">
      <c r="A764" s="1852" t="s">
        <v>2969</v>
      </c>
      <c r="B764" s="1462"/>
      <c r="C764" s="1456">
        <v>780</v>
      </c>
      <c r="D764" s="1456">
        <v>780</v>
      </c>
      <c r="E764" s="1462"/>
      <c r="O764" s="1541">
        <f t="shared" si="22"/>
        <v>0</v>
      </c>
      <c r="P764" s="1541">
        <f t="shared" si="22"/>
        <v>780</v>
      </c>
      <c r="Q764" s="1541">
        <f t="shared" si="22"/>
        <v>780</v>
      </c>
      <c r="R764" s="1541">
        <f t="shared" si="21"/>
        <v>0</v>
      </c>
    </row>
    <row r="765" spans="1:18" x14ac:dyDescent="0.3">
      <c r="A765" s="1855" t="s">
        <v>2970</v>
      </c>
      <c r="B765" s="1462"/>
      <c r="C765" s="1456">
        <v>5602</v>
      </c>
      <c r="D765" s="1456">
        <v>5602</v>
      </c>
      <c r="E765" s="1462"/>
      <c r="O765" s="1541">
        <f t="shared" si="22"/>
        <v>0</v>
      </c>
      <c r="P765" s="1541">
        <f t="shared" si="22"/>
        <v>5602</v>
      </c>
      <c r="Q765" s="1541">
        <f t="shared" si="22"/>
        <v>5602</v>
      </c>
      <c r="R765" s="1541">
        <f t="shared" si="21"/>
        <v>0</v>
      </c>
    </row>
    <row r="766" spans="1:18" x14ac:dyDescent="0.3">
      <c r="A766" s="1852" t="s">
        <v>2971</v>
      </c>
      <c r="B766" s="1462"/>
      <c r="C766" s="1456">
        <v>1000</v>
      </c>
      <c r="D766" s="1456">
        <v>1000</v>
      </c>
      <c r="E766" s="1462"/>
      <c r="O766" s="1541">
        <f t="shared" si="22"/>
        <v>0</v>
      </c>
      <c r="P766" s="1541">
        <f t="shared" si="22"/>
        <v>1000</v>
      </c>
      <c r="Q766" s="1541">
        <f t="shared" si="22"/>
        <v>1000</v>
      </c>
      <c r="R766" s="1541">
        <f t="shared" si="21"/>
        <v>0</v>
      </c>
    </row>
    <row r="767" spans="1:18" x14ac:dyDescent="0.3">
      <c r="A767" s="1855" t="s">
        <v>2972</v>
      </c>
      <c r="B767" s="1462"/>
      <c r="C767" s="1456">
        <v>1146</v>
      </c>
      <c r="D767" s="1456">
        <v>1146</v>
      </c>
      <c r="E767" s="1462"/>
      <c r="O767" s="1541">
        <f t="shared" si="22"/>
        <v>0</v>
      </c>
      <c r="P767" s="1541">
        <f t="shared" si="22"/>
        <v>1146</v>
      </c>
      <c r="Q767" s="1541">
        <f t="shared" si="22"/>
        <v>1146</v>
      </c>
      <c r="R767" s="1541">
        <f t="shared" si="21"/>
        <v>0</v>
      </c>
    </row>
    <row r="768" spans="1:18" x14ac:dyDescent="0.3">
      <c r="A768" s="1852" t="s">
        <v>2973</v>
      </c>
      <c r="B768" s="1462"/>
      <c r="C768" s="1456">
        <v>2030</v>
      </c>
      <c r="D768" s="1456">
        <v>2030</v>
      </c>
      <c r="E768" s="1462"/>
      <c r="O768" s="1541">
        <f t="shared" si="22"/>
        <v>0</v>
      </c>
      <c r="P768" s="1541">
        <f t="shared" si="22"/>
        <v>2030</v>
      </c>
      <c r="Q768" s="1541">
        <f t="shared" si="22"/>
        <v>2030</v>
      </c>
      <c r="R768" s="1541">
        <f t="shared" si="21"/>
        <v>0</v>
      </c>
    </row>
    <row r="769" spans="1:18" x14ac:dyDescent="0.3">
      <c r="A769" s="1852" t="s">
        <v>2974</v>
      </c>
      <c r="B769" s="1462"/>
      <c r="C769" s="1456">
        <v>24100</v>
      </c>
      <c r="D769" s="1456">
        <v>24100</v>
      </c>
      <c r="E769" s="1462"/>
      <c r="O769" s="1541">
        <f t="shared" si="22"/>
        <v>0</v>
      </c>
      <c r="P769" s="1541">
        <f t="shared" si="22"/>
        <v>24100</v>
      </c>
      <c r="Q769" s="1541">
        <f t="shared" si="22"/>
        <v>24100</v>
      </c>
      <c r="R769" s="1541">
        <f t="shared" si="21"/>
        <v>0</v>
      </c>
    </row>
    <row r="770" spans="1:18" x14ac:dyDescent="0.3">
      <c r="A770" s="1852" t="s">
        <v>2975</v>
      </c>
      <c r="B770" s="1462"/>
      <c r="C770" s="1456">
        <v>2640</v>
      </c>
      <c r="D770" s="1456">
        <v>2640</v>
      </c>
      <c r="E770" s="1462"/>
      <c r="O770" s="1541">
        <f t="shared" si="22"/>
        <v>0</v>
      </c>
      <c r="P770" s="1541">
        <f t="shared" si="22"/>
        <v>2640</v>
      </c>
      <c r="Q770" s="1541">
        <f t="shared" si="22"/>
        <v>2640</v>
      </c>
      <c r="R770" s="1541">
        <f t="shared" si="21"/>
        <v>0</v>
      </c>
    </row>
    <row r="771" spans="1:18" x14ac:dyDescent="0.3">
      <c r="A771" s="1855" t="s">
        <v>2976</v>
      </c>
      <c r="B771" s="1462"/>
      <c r="C771" s="1456">
        <v>310</v>
      </c>
      <c r="D771" s="1456">
        <v>310</v>
      </c>
      <c r="E771" s="1462"/>
      <c r="O771" s="1541">
        <f t="shared" si="22"/>
        <v>0</v>
      </c>
      <c r="P771" s="1541">
        <f t="shared" si="22"/>
        <v>310</v>
      </c>
      <c r="Q771" s="1541">
        <f t="shared" si="22"/>
        <v>310</v>
      </c>
      <c r="R771" s="1541">
        <f t="shared" si="21"/>
        <v>0</v>
      </c>
    </row>
    <row r="772" spans="1:18" x14ac:dyDescent="0.3">
      <c r="A772" s="1855" t="s">
        <v>2977</v>
      </c>
      <c r="B772" s="1462"/>
      <c r="C772" s="1456">
        <v>25400</v>
      </c>
      <c r="D772" s="1456">
        <v>25400</v>
      </c>
      <c r="E772" s="1462"/>
      <c r="O772" s="1541">
        <f t="shared" si="22"/>
        <v>0</v>
      </c>
      <c r="P772" s="1541">
        <f t="shared" si="22"/>
        <v>25400</v>
      </c>
      <c r="Q772" s="1541">
        <f t="shared" si="22"/>
        <v>25400</v>
      </c>
      <c r="R772" s="1541">
        <f t="shared" si="21"/>
        <v>0</v>
      </c>
    </row>
    <row r="773" spans="1:18" x14ac:dyDescent="0.3">
      <c r="A773" s="1855" t="s">
        <v>2978</v>
      </c>
      <c r="B773" s="1462"/>
      <c r="C773" s="1456">
        <v>76550</v>
      </c>
      <c r="D773" s="1456">
        <v>87150</v>
      </c>
      <c r="E773" s="1471">
        <v>-10600</v>
      </c>
      <c r="O773" s="1541">
        <f t="shared" si="22"/>
        <v>0</v>
      </c>
      <c r="P773" s="1541">
        <f t="shared" si="22"/>
        <v>76550</v>
      </c>
      <c r="Q773" s="1541">
        <f t="shared" si="22"/>
        <v>87150</v>
      </c>
      <c r="R773" s="1541">
        <f t="shared" si="21"/>
        <v>-10600</v>
      </c>
    </row>
    <row r="774" spans="1:18" x14ac:dyDescent="0.3">
      <c r="A774" s="1852" t="s">
        <v>2979</v>
      </c>
      <c r="B774" s="1462"/>
      <c r="C774" s="1456">
        <v>6000</v>
      </c>
      <c r="D774" s="1460"/>
      <c r="E774" s="1896">
        <v>6000</v>
      </c>
      <c r="O774" s="1541">
        <f t="shared" si="22"/>
        <v>0</v>
      </c>
      <c r="P774" s="1541">
        <f t="shared" si="22"/>
        <v>6000</v>
      </c>
      <c r="Q774" s="1541">
        <f t="shared" si="22"/>
        <v>0</v>
      </c>
      <c r="R774" s="1541">
        <f t="shared" si="21"/>
        <v>6000</v>
      </c>
    </row>
    <row r="775" spans="1:18" x14ac:dyDescent="0.3">
      <c r="A775" s="1855" t="s">
        <v>2980</v>
      </c>
      <c r="B775" s="1462"/>
      <c r="C775" s="1456">
        <v>200</v>
      </c>
      <c r="D775" s="1456">
        <v>200</v>
      </c>
      <c r="E775" s="1462"/>
      <c r="O775" s="1541">
        <f t="shared" si="22"/>
        <v>0</v>
      </c>
      <c r="P775" s="1541">
        <f t="shared" si="22"/>
        <v>200</v>
      </c>
      <c r="Q775" s="1541">
        <f t="shared" si="22"/>
        <v>200</v>
      </c>
      <c r="R775" s="1541">
        <f t="shared" si="21"/>
        <v>0</v>
      </c>
    </row>
    <row r="776" spans="1:18" x14ac:dyDescent="0.3">
      <c r="A776" s="1852" t="s">
        <v>2981</v>
      </c>
      <c r="B776" s="1462"/>
      <c r="C776" s="1456">
        <v>470</v>
      </c>
      <c r="D776" s="1456">
        <v>470</v>
      </c>
      <c r="E776" s="1462"/>
      <c r="O776" s="1541">
        <f t="shared" si="22"/>
        <v>0</v>
      </c>
      <c r="P776" s="1541">
        <f t="shared" si="22"/>
        <v>470</v>
      </c>
      <c r="Q776" s="1541">
        <f t="shared" si="22"/>
        <v>470</v>
      </c>
      <c r="R776" s="1541">
        <f t="shared" si="21"/>
        <v>0</v>
      </c>
    </row>
    <row r="777" spans="1:18" x14ac:dyDescent="0.3">
      <c r="A777" s="1855" t="s">
        <v>2982</v>
      </c>
      <c r="B777" s="1462"/>
      <c r="C777" s="1456">
        <v>200</v>
      </c>
      <c r="D777" s="1456">
        <v>200</v>
      </c>
      <c r="E777" s="1462"/>
      <c r="O777" s="1541">
        <f t="shared" si="22"/>
        <v>0</v>
      </c>
      <c r="P777" s="1541">
        <f t="shared" si="22"/>
        <v>200</v>
      </c>
      <c r="Q777" s="1541">
        <f t="shared" si="22"/>
        <v>200</v>
      </c>
      <c r="R777" s="1541">
        <f t="shared" si="21"/>
        <v>0</v>
      </c>
    </row>
    <row r="778" spans="1:18" x14ac:dyDescent="0.3">
      <c r="A778" s="1855" t="s">
        <v>2983</v>
      </c>
      <c r="B778" s="1462"/>
      <c r="C778" s="1456">
        <v>1050</v>
      </c>
      <c r="D778" s="1456">
        <v>1050</v>
      </c>
      <c r="E778" s="1462"/>
      <c r="O778" s="1541">
        <f t="shared" si="22"/>
        <v>0</v>
      </c>
      <c r="P778" s="1541">
        <f t="shared" si="22"/>
        <v>1050</v>
      </c>
      <c r="Q778" s="1541">
        <f t="shared" si="22"/>
        <v>1050</v>
      </c>
      <c r="R778" s="1541">
        <f t="shared" si="21"/>
        <v>0</v>
      </c>
    </row>
    <row r="779" spans="1:18" x14ac:dyDescent="0.3">
      <c r="A779" s="1852" t="s">
        <v>2984</v>
      </c>
      <c r="B779" s="1462"/>
      <c r="C779" s="1456">
        <v>3430</v>
      </c>
      <c r="D779" s="1456">
        <v>3430</v>
      </c>
      <c r="E779" s="1462"/>
      <c r="O779" s="1541">
        <f t="shared" si="22"/>
        <v>0</v>
      </c>
      <c r="P779" s="1541">
        <f t="shared" si="22"/>
        <v>3430</v>
      </c>
      <c r="Q779" s="1541">
        <f t="shared" si="22"/>
        <v>3430</v>
      </c>
      <c r="R779" s="1541">
        <f t="shared" si="21"/>
        <v>0</v>
      </c>
    </row>
    <row r="780" spans="1:18" x14ac:dyDescent="0.3">
      <c r="A780" s="1852" t="s">
        <v>2985</v>
      </c>
      <c r="B780" s="1462"/>
      <c r="C780" s="1456">
        <v>1342</v>
      </c>
      <c r="D780" s="1456">
        <v>1342</v>
      </c>
      <c r="E780" s="1462"/>
      <c r="O780" s="1541">
        <f t="shared" si="22"/>
        <v>0</v>
      </c>
      <c r="P780" s="1541">
        <f t="shared" si="22"/>
        <v>1342</v>
      </c>
      <c r="Q780" s="1541">
        <f t="shared" si="22"/>
        <v>1342</v>
      </c>
      <c r="R780" s="1541">
        <f t="shared" si="21"/>
        <v>0</v>
      </c>
    </row>
    <row r="781" spans="1:18" x14ac:dyDescent="0.3">
      <c r="A781" s="1852" t="s">
        <v>2986</v>
      </c>
      <c r="B781" s="1462"/>
      <c r="C781" s="1456">
        <v>932</v>
      </c>
      <c r="D781" s="1456">
        <v>932</v>
      </c>
      <c r="E781" s="1462"/>
      <c r="O781" s="1541">
        <f t="shared" si="22"/>
        <v>0</v>
      </c>
      <c r="P781" s="1541">
        <f t="shared" si="22"/>
        <v>932</v>
      </c>
      <c r="Q781" s="1541">
        <f t="shared" si="22"/>
        <v>932</v>
      </c>
      <c r="R781" s="1541">
        <f t="shared" si="21"/>
        <v>0</v>
      </c>
    </row>
    <row r="782" spans="1:18" x14ac:dyDescent="0.3">
      <c r="A782" s="1852" t="s">
        <v>2987</v>
      </c>
      <c r="B782" s="1462"/>
      <c r="C782" s="1456">
        <v>2240</v>
      </c>
      <c r="D782" s="1456">
        <v>2240</v>
      </c>
      <c r="E782" s="1462"/>
      <c r="O782" s="1541">
        <f t="shared" si="22"/>
        <v>0</v>
      </c>
      <c r="P782" s="1541">
        <f t="shared" si="22"/>
        <v>2240</v>
      </c>
      <c r="Q782" s="1541">
        <f t="shared" si="22"/>
        <v>2240</v>
      </c>
      <c r="R782" s="1541">
        <f t="shared" si="21"/>
        <v>0</v>
      </c>
    </row>
    <row r="783" spans="1:18" x14ac:dyDescent="0.3">
      <c r="A783" s="1852" t="s">
        <v>2988</v>
      </c>
      <c r="B783" s="1462"/>
      <c r="C783" s="1456">
        <v>1730</v>
      </c>
      <c r="D783" s="1456">
        <v>1730</v>
      </c>
      <c r="E783" s="1462"/>
      <c r="O783" s="1541">
        <f t="shared" si="22"/>
        <v>0</v>
      </c>
      <c r="P783" s="1541">
        <f t="shared" si="22"/>
        <v>1730</v>
      </c>
      <c r="Q783" s="1541">
        <f t="shared" si="22"/>
        <v>1730</v>
      </c>
      <c r="R783" s="1541">
        <f t="shared" si="21"/>
        <v>0</v>
      </c>
    </row>
    <row r="784" spans="1:18" x14ac:dyDescent="0.3">
      <c r="A784" s="1852" t="s">
        <v>2989</v>
      </c>
      <c r="B784" s="1462"/>
      <c r="C784" s="1456">
        <v>2410</v>
      </c>
      <c r="D784" s="1456">
        <v>2410</v>
      </c>
      <c r="E784" s="1462"/>
      <c r="O784" s="1541">
        <f t="shared" si="22"/>
        <v>0</v>
      </c>
      <c r="P784" s="1541">
        <f t="shared" si="22"/>
        <v>2410</v>
      </c>
      <c r="Q784" s="1541">
        <f t="shared" si="22"/>
        <v>2410</v>
      </c>
      <c r="R784" s="1541">
        <f t="shared" si="21"/>
        <v>0</v>
      </c>
    </row>
    <row r="785" spans="1:18" x14ac:dyDescent="0.3">
      <c r="A785" s="1852" t="s">
        <v>2990</v>
      </c>
      <c r="B785" s="1462"/>
      <c r="C785" s="1456">
        <v>600</v>
      </c>
      <c r="D785" s="1456">
        <v>600</v>
      </c>
      <c r="E785" s="1462"/>
      <c r="O785" s="1541">
        <f t="shared" si="22"/>
        <v>0</v>
      </c>
      <c r="P785" s="1541">
        <f t="shared" si="22"/>
        <v>600</v>
      </c>
      <c r="Q785" s="1541">
        <f t="shared" si="22"/>
        <v>600</v>
      </c>
      <c r="R785" s="1541">
        <f t="shared" si="21"/>
        <v>0</v>
      </c>
    </row>
    <row r="786" spans="1:18" x14ac:dyDescent="0.3">
      <c r="A786" s="1852" t="s">
        <v>2991</v>
      </c>
      <c r="B786" s="1462"/>
      <c r="C786" s="1456">
        <v>2026</v>
      </c>
      <c r="D786" s="1456">
        <v>2026</v>
      </c>
      <c r="E786" s="1462"/>
      <c r="O786" s="1541">
        <f t="shared" si="22"/>
        <v>0</v>
      </c>
      <c r="P786" s="1541">
        <f t="shared" si="22"/>
        <v>2026</v>
      </c>
      <c r="Q786" s="1541">
        <f t="shared" si="22"/>
        <v>2026</v>
      </c>
      <c r="R786" s="1541">
        <f t="shared" si="21"/>
        <v>0</v>
      </c>
    </row>
    <row r="787" spans="1:18" x14ac:dyDescent="0.3">
      <c r="A787" s="1461" t="s">
        <v>2992</v>
      </c>
      <c r="B787" s="1462"/>
      <c r="C787" s="1456">
        <v>18975</v>
      </c>
      <c r="D787" s="1456">
        <v>599.89</v>
      </c>
      <c r="E787" s="1896">
        <v>18375.11</v>
      </c>
      <c r="O787" s="1541">
        <f t="shared" si="22"/>
        <v>0</v>
      </c>
      <c r="P787" s="1541">
        <f t="shared" si="22"/>
        <v>18975</v>
      </c>
      <c r="Q787" s="1541">
        <f t="shared" si="22"/>
        <v>599.89</v>
      </c>
      <c r="R787" s="1541">
        <f t="shared" si="21"/>
        <v>18375.11</v>
      </c>
    </row>
    <row r="788" spans="1:18" x14ac:dyDescent="0.3">
      <c r="A788" s="1852" t="s">
        <v>2993</v>
      </c>
      <c r="B788" s="1462"/>
      <c r="C788" s="1456">
        <v>140</v>
      </c>
      <c r="D788" s="1456">
        <v>140</v>
      </c>
      <c r="E788" s="1462"/>
      <c r="O788" s="1541">
        <f t="shared" si="22"/>
        <v>0</v>
      </c>
      <c r="P788" s="1541">
        <f t="shared" si="22"/>
        <v>140</v>
      </c>
      <c r="Q788" s="1541">
        <f t="shared" si="22"/>
        <v>140</v>
      </c>
      <c r="R788" s="1541">
        <f t="shared" si="21"/>
        <v>0</v>
      </c>
    </row>
    <row r="789" spans="1:18" x14ac:dyDescent="0.3">
      <c r="A789" s="1855" t="s">
        <v>2994</v>
      </c>
      <c r="B789" s="1462"/>
      <c r="C789" s="1456">
        <v>213850.04</v>
      </c>
      <c r="D789" s="1456">
        <v>213850</v>
      </c>
      <c r="E789" s="1896">
        <v>0.04</v>
      </c>
      <c r="O789" s="1541">
        <f t="shared" si="22"/>
        <v>0</v>
      </c>
      <c r="P789" s="1541">
        <f t="shared" si="22"/>
        <v>213850.04</v>
      </c>
      <c r="Q789" s="1541">
        <f t="shared" si="22"/>
        <v>213850</v>
      </c>
      <c r="R789" s="1541">
        <f t="shared" si="21"/>
        <v>0.04</v>
      </c>
    </row>
    <row r="790" spans="1:18" x14ac:dyDescent="0.3">
      <c r="A790" s="1855" t="s">
        <v>2995</v>
      </c>
      <c r="B790" s="1462"/>
      <c r="C790" s="1456">
        <v>1904</v>
      </c>
      <c r="D790" s="1456">
        <v>1904</v>
      </c>
      <c r="E790" s="1462"/>
      <c r="O790" s="1541">
        <f t="shared" si="22"/>
        <v>0</v>
      </c>
      <c r="P790" s="1541">
        <f t="shared" si="22"/>
        <v>1904</v>
      </c>
      <c r="Q790" s="1541">
        <f t="shared" si="22"/>
        <v>1904</v>
      </c>
      <c r="R790" s="1541">
        <f t="shared" si="21"/>
        <v>0</v>
      </c>
    </row>
    <row r="791" spans="1:18" x14ac:dyDescent="0.3">
      <c r="A791" s="1852" t="s">
        <v>2996</v>
      </c>
      <c r="B791" s="1462"/>
      <c r="C791" s="1456">
        <v>356</v>
      </c>
      <c r="D791" s="1456">
        <v>356</v>
      </c>
      <c r="E791" s="1462"/>
      <c r="O791" s="1541">
        <f t="shared" si="22"/>
        <v>0</v>
      </c>
      <c r="P791" s="1541">
        <f t="shared" si="22"/>
        <v>356</v>
      </c>
      <c r="Q791" s="1541">
        <f t="shared" si="22"/>
        <v>356</v>
      </c>
      <c r="R791" s="1541">
        <f t="shared" si="21"/>
        <v>0</v>
      </c>
    </row>
    <row r="792" spans="1:18" x14ac:dyDescent="0.3">
      <c r="A792" s="1855" t="s">
        <v>2997</v>
      </c>
      <c r="B792" s="1462"/>
      <c r="C792" s="1456">
        <v>1040</v>
      </c>
      <c r="D792" s="1456">
        <v>1040</v>
      </c>
      <c r="E792" s="1462"/>
      <c r="O792" s="1541">
        <f t="shared" si="22"/>
        <v>0</v>
      </c>
      <c r="P792" s="1541">
        <f t="shared" si="22"/>
        <v>1040</v>
      </c>
      <c r="Q792" s="1541">
        <f t="shared" si="22"/>
        <v>1040</v>
      </c>
      <c r="R792" s="1541">
        <f t="shared" si="21"/>
        <v>0</v>
      </c>
    </row>
    <row r="793" spans="1:18" x14ac:dyDescent="0.3">
      <c r="A793" s="1852" t="s">
        <v>2998</v>
      </c>
      <c r="B793" s="1462"/>
      <c r="C793" s="1456">
        <v>1084</v>
      </c>
      <c r="D793" s="1456">
        <v>1084</v>
      </c>
      <c r="E793" s="1462"/>
      <c r="O793" s="1541">
        <f t="shared" si="22"/>
        <v>0</v>
      </c>
      <c r="P793" s="1541">
        <f t="shared" si="22"/>
        <v>1084</v>
      </c>
      <c r="Q793" s="1541">
        <f t="shared" si="22"/>
        <v>1084</v>
      </c>
      <c r="R793" s="1541">
        <f t="shared" si="21"/>
        <v>0</v>
      </c>
    </row>
    <row r="794" spans="1:18" x14ac:dyDescent="0.3">
      <c r="A794" s="1855" t="s">
        <v>2999</v>
      </c>
      <c r="B794" s="1462"/>
      <c r="C794" s="1456">
        <v>140</v>
      </c>
      <c r="D794" s="1456">
        <v>140</v>
      </c>
      <c r="E794" s="1462"/>
      <c r="O794" s="1541">
        <f t="shared" si="22"/>
        <v>0</v>
      </c>
      <c r="P794" s="1541">
        <f t="shared" si="22"/>
        <v>140</v>
      </c>
      <c r="Q794" s="1541">
        <f t="shared" si="22"/>
        <v>140</v>
      </c>
      <c r="R794" s="1541">
        <f t="shared" si="21"/>
        <v>0</v>
      </c>
    </row>
    <row r="795" spans="1:18" x14ac:dyDescent="0.3">
      <c r="A795" s="1855" t="s">
        <v>3000</v>
      </c>
      <c r="B795" s="1462"/>
      <c r="C795" s="1456">
        <v>2692</v>
      </c>
      <c r="D795" s="1456">
        <v>2692</v>
      </c>
      <c r="E795" s="1462"/>
      <c r="O795" s="1541">
        <f t="shared" si="22"/>
        <v>0</v>
      </c>
      <c r="P795" s="1541">
        <f t="shared" si="22"/>
        <v>2692</v>
      </c>
      <c r="Q795" s="1541">
        <f t="shared" si="22"/>
        <v>2692</v>
      </c>
      <c r="R795" s="1541">
        <f t="shared" si="21"/>
        <v>0</v>
      </c>
    </row>
    <row r="796" spans="1:18" x14ac:dyDescent="0.3">
      <c r="A796" s="1852" t="s">
        <v>3001</v>
      </c>
      <c r="B796" s="1462"/>
      <c r="C796" s="1456">
        <v>4672</v>
      </c>
      <c r="D796" s="1456">
        <v>4672</v>
      </c>
      <c r="E796" s="1462"/>
      <c r="O796" s="1541">
        <f t="shared" si="22"/>
        <v>0</v>
      </c>
      <c r="P796" s="1541">
        <f t="shared" si="22"/>
        <v>4672</v>
      </c>
      <c r="Q796" s="1541">
        <f t="shared" si="22"/>
        <v>4672</v>
      </c>
      <c r="R796" s="1541">
        <f t="shared" si="21"/>
        <v>0</v>
      </c>
    </row>
    <row r="797" spans="1:18" x14ac:dyDescent="0.3">
      <c r="A797" s="1855" t="s">
        <v>3002</v>
      </c>
      <c r="B797" s="1462"/>
      <c r="C797" s="1456">
        <v>8896</v>
      </c>
      <c r="D797" s="1456">
        <v>8896</v>
      </c>
      <c r="E797" s="1462"/>
      <c r="O797" s="1541">
        <f t="shared" si="22"/>
        <v>0</v>
      </c>
      <c r="P797" s="1541">
        <f t="shared" si="22"/>
        <v>8896</v>
      </c>
      <c r="Q797" s="1541">
        <f t="shared" si="22"/>
        <v>8896</v>
      </c>
      <c r="R797" s="1541">
        <f t="shared" si="21"/>
        <v>0</v>
      </c>
    </row>
    <row r="798" spans="1:18" x14ac:dyDescent="0.3">
      <c r="A798" s="1852" t="s">
        <v>3003</v>
      </c>
      <c r="B798" s="1462"/>
      <c r="C798" s="1456">
        <v>14077</v>
      </c>
      <c r="D798" s="1456">
        <v>14077</v>
      </c>
      <c r="E798" s="1462"/>
      <c r="O798" s="1541">
        <f t="shared" si="22"/>
        <v>0</v>
      </c>
      <c r="P798" s="1541">
        <f t="shared" si="22"/>
        <v>14077</v>
      </c>
      <c r="Q798" s="1541">
        <f t="shared" si="22"/>
        <v>14077</v>
      </c>
      <c r="R798" s="1541">
        <f t="shared" si="21"/>
        <v>0</v>
      </c>
    </row>
    <row r="799" spans="1:18" x14ac:dyDescent="0.3">
      <c r="A799" s="1852" t="s">
        <v>3004</v>
      </c>
      <c r="B799" s="1462"/>
      <c r="C799" s="1456">
        <v>140</v>
      </c>
      <c r="D799" s="1456">
        <v>140</v>
      </c>
      <c r="E799" s="1462"/>
      <c r="O799" s="1541">
        <f t="shared" si="22"/>
        <v>0</v>
      </c>
      <c r="P799" s="1541">
        <f t="shared" si="22"/>
        <v>140</v>
      </c>
      <c r="Q799" s="1541">
        <f t="shared" si="22"/>
        <v>140</v>
      </c>
      <c r="R799" s="1541">
        <f t="shared" si="21"/>
        <v>0</v>
      </c>
    </row>
    <row r="800" spans="1:18" x14ac:dyDescent="0.3">
      <c r="A800" s="1852" t="s">
        <v>3005</v>
      </c>
      <c r="B800" s="1462"/>
      <c r="C800" s="1456">
        <v>446</v>
      </c>
      <c r="D800" s="1456">
        <v>446</v>
      </c>
      <c r="E800" s="1462"/>
      <c r="O800" s="1541">
        <f t="shared" si="22"/>
        <v>0</v>
      </c>
      <c r="P800" s="1541">
        <f t="shared" si="22"/>
        <v>446</v>
      </c>
      <c r="Q800" s="1541">
        <f t="shared" si="22"/>
        <v>446</v>
      </c>
      <c r="R800" s="1541">
        <f t="shared" si="21"/>
        <v>0</v>
      </c>
    </row>
    <row r="801" spans="1:18" x14ac:dyDescent="0.3">
      <c r="A801" s="1852" t="s">
        <v>3006</v>
      </c>
      <c r="B801" s="1462"/>
      <c r="C801" s="1456">
        <v>340</v>
      </c>
      <c r="D801" s="1456">
        <v>340</v>
      </c>
      <c r="E801" s="1462"/>
      <c r="O801" s="1541">
        <f t="shared" si="22"/>
        <v>0</v>
      </c>
      <c r="P801" s="1541">
        <f t="shared" si="22"/>
        <v>340</v>
      </c>
      <c r="Q801" s="1541">
        <f t="shared" si="22"/>
        <v>340</v>
      </c>
      <c r="R801" s="1541">
        <f t="shared" si="21"/>
        <v>0</v>
      </c>
    </row>
    <row r="802" spans="1:18" x14ac:dyDescent="0.3">
      <c r="A802" s="1852" t="s">
        <v>3007</v>
      </c>
      <c r="B802" s="1462"/>
      <c r="C802" s="1456">
        <v>380</v>
      </c>
      <c r="D802" s="1456">
        <v>380</v>
      </c>
      <c r="E802" s="1462"/>
      <c r="O802" s="1541">
        <f t="shared" si="22"/>
        <v>0</v>
      </c>
      <c r="P802" s="1541">
        <f t="shared" si="22"/>
        <v>380</v>
      </c>
      <c r="Q802" s="1541">
        <f t="shared" si="22"/>
        <v>380</v>
      </c>
      <c r="R802" s="1541">
        <f t="shared" si="21"/>
        <v>0</v>
      </c>
    </row>
    <row r="803" spans="1:18" x14ac:dyDescent="0.3">
      <c r="A803" s="1852" t="s">
        <v>3008</v>
      </c>
      <c r="B803" s="1462"/>
      <c r="C803" s="1456">
        <v>210</v>
      </c>
      <c r="D803" s="1456">
        <v>210</v>
      </c>
      <c r="E803" s="1462"/>
      <c r="O803" s="1541">
        <f t="shared" si="22"/>
        <v>0</v>
      </c>
      <c r="P803" s="1541">
        <f t="shared" si="22"/>
        <v>210</v>
      </c>
      <c r="Q803" s="1541">
        <f t="shared" si="22"/>
        <v>210</v>
      </c>
      <c r="R803" s="1541">
        <f t="shared" si="21"/>
        <v>0</v>
      </c>
    </row>
    <row r="804" spans="1:18" x14ac:dyDescent="0.3">
      <c r="A804" s="1855" t="s">
        <v>3009</v>
      </c>
      <c r="B804" s="1462"/>
      <c r="C804" s="1456">
        <v>7268</v>
      </c>
      <c r="D804" s="1456">
        <v>4160</v>
      </c>
      <c r="E804" s="1896">
        <v>3108</v>
      </c>
      <c r="O804" s="1541">
        <f t="shared" si="22"/>
        <v>0</v>
      </c>
      <c r="P804" s="1541">
        <f t="shared" si="22"/>
        <v>7268</v>
      </c>
      <c r="Q804" s="1541">
        <f t="shared" si="22"/>
        <v>4160</v>
      </c>
      <c r="R804" s="1541">
        <f t="shared" si="21"/>
        <v>3108</v>
      </c>
    </row>
    <row r="805" spans="1:18" x14ac:dyDescent="0.3">
      <c r="A805" s="1852" t="s">
        <v>3010</v>
      </c>
      <c r="B805" s="1462"/>
      <c r="C805" s="1456">
        <v>60269.919999999998</v>
      </c>
      <c r="D805" s="1456">
        <v>60270</v>
      </c>
      <c r="E805" s="1471">
        <v>-0.08</v>
      </c>
      <c r="O805" s="1541">
        <f t="shared" si="22"/>
        <v>0</v>
      </c>
      <c r="P805" s="1541">
        <f t="shared" si="22"/>
        <v>60269.919999999998</v>
      </c>
      <c r="Q805" s="1541">
        <f t="shared" si="22"/>
        <v>60270</v>
      </c>
      <c r="R805" s="1541">
        <f t="shared" si="21"/>
        <v>-0.08</v>
      </c>
    </row>
    <row r="806" spans="1:18" x14ac:dyDescent="0.3">
      <c r="A806" s="1852" t="s">
        <v>3011</v>
      </c>
      <c r="B806" s="1462"/>
      <c r="C806" s="1456">
        <v>4010</v>
      </c>
      <c r="D806" s="1456">
        <v>4010</v>
      </c>
      <c r="E806" s="1462"/>
      <c r="O806" s="1541">
        <f t="shared" si="22"/>
        <v>0</v>
      </c>
      <c r="P806" s="1541">
        <f t="shared" si="22"/>
        <v>4010</v>
      </c>
      <c r="Q806" s="1541">
        <f t="shared" si="22"/>
        <v>4010</v>
      </c>
      <c r="R806" s="1541">
        <f t="shared" si="21"/>
        <v>0</v>
      </c>
    </row>
    <row r="807" spans="1:18" x14ac:dyDescent="0.3">
      <c r="A807" s="1852" t="s">
        <v>3012</v>
      </c>
      <c r="B807" s="1462"/>
      <c r="C807" s="1456">
        <v>5621</v>
      </c>
      <c r="D807" s="1456">
        <v>5621</v>
      </c>
      <c r="E807" s="1462"/>
      <c r="O807" s="1541">
        <f t="shared" si="22"/>
        <v>0</v>
      </c>
      <c r="P807" s="1541">
        <f t="shared" si="22"/>
        <v>5621</v>
      </c>
      <c r="Q807" s="1541">
        <f t="shared" si="22"/>
        <v>5621</v>
      </c>
      <c r="R807" s="1541">
        <f t="shared" si="21"/>
        <v>0</v>
      </c>
    </row>
    <row r="808" spans="1:18" x14ac:dyDescent="0.3">
      <c r="A808" s="1852" t="s">
        <v>3013</v>
      </c>
      <c r="B808" s="1462"/>
      <c r="C808" s="1456">
        <v>36390.04</v>
      </c>
      <c r="D808" s="1456">
        <v>36390</v>
      </c>
      <c r="E808" s="1896">
        <v>0.04</v>
      </c>
      <c r="O808" s="1541">
        <f t="shared" si="22"/>
        <v>0</v>
      </c>
      <c r="P808" s="1541">
        <f t="shared" si="22"/>
        <v>36390.04</v>
      </c>
      <c r="Q808" s="1541">
        <f t="shared" si="22"/>
        <v>36390</v>
      </c>
      <c r="R808" s="1541">
        <f t="shared" si="21"/>
        <v>0.04</v>
      </c>
    </row>
    <row r="809" spans="1:18" x14ac:dyDescent="0.3">
      <c r="A809" s="1852" t="s">
        <v>3014</v>
      </c>
      <c r="B809" s="1462"/>
      <c r="C809" s="1456">
        <v>28790</v>
      </c>
      <c r="D809" s="1456">
        <v>28790</v>
      </c>
      <c r="E809" s="1462"/>
      <c r="O809" s="1541">
        <f t="shared" si="22"/>
        <v>0</v>
      </c>
      <c r="P809" s="1541">
        <f t="shared" si="22"/>
        <v>28790</v>
      </c>
      <c r="Q809" s="1541">
        <f t="shared" si="22"/>
        <v>28790</v>
      </c>
      <c r="R809" s="1541">
        <f t="shared" si="21"/>
        <v>0</v>
      </c>
    </row>
    <row r="810" spans="1:18" x14ac:dyDescent="0.3">
      <c r="A810" s="1852" t="s">
        <v>3015</v>
      </c>
      <c r="B810" s="1462"/>
      <c r="C810" s="1456">
        <v>37192.019999999997</v>
      </c>
      <c r="D810" s="1456">
        <v>37192</v>
      </c>
      <c r="E810" s="1896">
        <v>0.02</v>
      </c>
      <c r="O810" s="1541">
        <f t="shared" si="22"/>
        <v>0</v>
      </c>
      <c r="P810" s="1541">
        <f t="shared" si="22"/>
        <v>37192.019999999997</v>
      </c>
      <c r="Q810" s="1541">
        <f t="shared" si="22"/>
        <v>37192</v>
      </c>
      <c r="R810" s="1541">
        <f t="shared" si="21"/>
        <v>0.02</v>
      </c>
    </row>
    <row r="811" spans="1:18" x14ac:dyDescent="0.3">
      <c r="A811" s="1852" t="s">
        <v>3016</v>
      </c>
      <c r="B811" s="1462"/>
      <c r="C811" s="1456">
        <v>23081.02</v>
      </c>
      <c r="D811" s="1456">
        <v>23081</v>
      </c>
      <c r="E811" s="1896">
        <v>0.02</v>
      </c>
      <c r="O811" s="1541">
        <f t="shared" si="22"/>
        <v>0</v>
      </c>
      <c r="P811" s="1541">
        <f t="shared" si="22"/>
        <v>23081.02</v>
      </c>
      <c r="Q811" s="1541">
        <f t="shared" si="22"/>
        <v>23081</v>
      </c>
      <c r="R811" s="1541">
        <f t="shared" si="21"/>
        <v>0.02</v>
      </c>
    </row>
    <row r="812" spans="1:18" x14ac:dyDescent="0.3">
      <c r="A812" s="1852" t="s">
        <v>3017</v>
      </c>
      <c r="B812" s="1462"/>
      <c r="C812" s="1456">
        <v>280</v>
      </c>
      <c r="D812" s="1456">
        <v>280</v>
      </c>
      <c r="E812" s="1462"/>
      <c r="O812" s="1541">
        <f t="shared" si="22"/>
        <v>0</v>
      </c>
      <c r="P812" s="1541">
        <f t="shared" si="22"/>
        <v>280</v>
      </c>
      <c r="Q812" s="1541">
        <f t="shared" si="22"/>
        <v>280</v>
      </c>
      <c r="R812" s="1541">
        <f t="shared" si="21"/>
        <v>0</v>
      </c>
    </row>
    <row r="813" spans="1:18" x14ac:dyDescent="0.3">
      <c r="A813" s="1852" t="s">
        <v>3018</v>
      </c>
      <c r="B813" s="1462"/>
      <c r="C813" s="1456">
        <v>37685</v>
      </c>
      <c r="D813" s="1456">
        <v>37685</v>
      </c>
      <c r="E813" s="1462"/>
      <c r="O813" s="1541">
        <f t="shared" si="22"/>
        <v>0</v>
      </c>
      <c r="P813" s="1541">
        <f t="shared" si="22"/>
        <v>37685</v>
      </c>
      <c r="Q813" s="1541">
        <f t="shared" si="22"/>
        <v>37685</v>
      </c>
      <c r="R813" s="1541">
        <f t="shared" si="21"/>
        <v>0</v>
      </c>
    </row>
    <row r="814" spans="1:18" x14ac:dyDescent="0.3">
      <c r="A814" s="1852" t="s">
        <v>3019</v>
      </c>
      <c r="B814" s="1462"/>
      <c r="C814" s="1456">
        <v>4800</v>
      </c>
      <c r="D814" s="1460"/>
      <c r="E814" s="1896">
        <v>4800</v>
      </c>
      <c r="O814" s="1541">
        <f t="shared" si="22"/>
        <v>0</v>
      </c>
      <c r="P814" s="1541">
        <f t="shared" si="22"/>
        <v>4800</v>
      </c>
      <c r="Q814" s="1541">
        <f t="shared" si="22"/>
        <v>0</v>
      </c>
      <c r="R814" s="1541">
        <f t="shared" si="22"/>
        <v>4800</v>
      </c>
    </row>
    <row r="815" spans="1:18" x14ac:dyDescent="0.3">
      <c r="A815" s="1852" t="s">
        <v>3020</v>
      </c>
      <c r="B815" s="1462"/>
      <c r="C815" s="1456">
        <v>260</v>
      </c>
      <c r="D815" s="1456">
        <v>260</v>
      </c>
      <c r="E815" s="1462"/>
      <c r="O815" s="1541">
        <f t="shared" ref="O815:R878" si="23">B815+I815</f>
        <v>0</v>
      </c>
      <c r="P815" s="1541">
        <f t="shared" si="23"/>
        <v>260</v>
      </c>
      <c r="Q815" s="1541">
        <f t="shared" si="23"/>
        <v>260</v>
      </c>
      <c r="R815" s="1541">
        <f t="shared" si="23"/>
        <v>0</v>
      </c>
    </row>
    <row r="816" spans="1:18" x14ac:dyDescent="0.3">
      <c r="A816" s="1855" t="s">
        <v>3021</v>
      </c>
      <c r="B816" s="1462"/>
      <c r="C816" s="1456">
        <v>9464</v>
      </c>
      <c r="D816" s="1456">
        <v>9923.98</v>
      </c>
      <c r="E816" s="1471">
        <v>-459.98</v>
      </c>
      <c r="O816" s="1541">
        <f t="shared" si="23"/>
        <v>0</v>
      </c>
      <c r="P816" s="1541">
        <f t="shared" si="23"/>
        <v>9464</v>
      </c>
      <c r="Q816" s="1541">
        <f t="shared" si="23"/>
        <v>9923.98</v>
      </c>
      <c r="R816" s="1541">
        <f t="shared" si="23"/>
        <v>-459.98</v>
      </c>
    </row>
    <row r="817" spans="1:18" x14ac:dyDescent="0.3">
      <c r="A817" s="1852" t="s">
        <v>3022</v>
      </c>
      <c r="B817" s="1462"/>
      <c r="C817" s="1456">
        <v>10346</v>
      </c>
      <c r="D817" s="1456">
        <v>10346</v>
      </c>
      <c r="E817" s="1462"/>
      <c r="O817" s="1541">
        <f t="shared" si="23"/>
        <v>0</v>
      </c>
      <c r="P817" s="1541">
        <f t="shared" si="23"/>
        <v>10346</v>
      </c>
      <c r="Q817" s="1541">
        <f t="shared" si="23"/>
        <v>10346</v>
      </c>
      <c r="R817" s="1541">
        <f t="shared" si="23"/>
        <v>0</v>
      </c>
    </row>
    <row r="818" spans="1:18" x14ac:dyDescent="0.3">
      <c r="A818" s="1852" t="s">
        <v>3023</v>
      </c>
      <c r="B818" s="1462"/>
      <c r="C818" s="1456">
        <v>1820</v>
      </c>
      <c r="D818" s="1456">
        <v>1820</v>
      </c>
      <c r="E818" s="1462"/>
      <c r="O818" s="1541">
        <f t="shared" si="23"/>
        <v>0</v>
      </c>
      <c r="P818" s="1541">
        <f t="shared" si="23"/>
        <v>1820</v>
      </c>
      <c r="Q818" s="1541">
        <f t="shared" si="23"/>
        <v>1820</v>
      </c>
      <c r="R818" s="1541">
        <f t="shared" si="23"/>
        <v>0</v>
      </c>
    </row>
    <row r="819" spans="1:18" x14ac:dyDescent="0.3">
      <c r="A819" s="1852" t="s">
        <v>3024</v>
      </c>
      <c r="B819" s="1462"/>
      <c r="C819" s="1456">
        <v>1530</v>
      </c>
      <c r="D819" s="1456">
        <v>1530</v>
      </c>
      <c r="E819" s="1462"/>
      <c r="O819" s="1541">
        <f t="shared" si="23"/>
        <v>0</v>
      </c>
      <c r="P819" s="1541">
        <f t="shared" si="23"/>
        <v>1530</v>
      </c>
      <c r="Q819" s="1541">
        <f t="shared" si="23"/>
        <v>1530</v>
      </c>
      <c r="R819" s="1541">
        <f t="shared" si="23"/>
        <v>0</v>
      </c>
    </row>
    <row r="820" spans="1:18" x14ac:dyDescent="0.3">
      <c r="A820" s="1852" t="s">
        <v>3025</v>
      </c>
      <c r="B820" s="1462"/>
      <c r="C820" s="1456">
        <v>1530</v>
      </c>
      <c r="D820" s="1456">
        <v>1530</v>
      </c>
      <c r="E820" s="1462"/>
      <c r="O820" s="1541">
        <f t="shared" si="23"/>
        <v>0</v>
      </c>
      <c r="P820" s="1541">
        <f t="shared" si="23"/>
        <v>1530</v>
      </c>
      <c r="Q820" s="1541">
        <f t="shared" si="23"/>
        <v>1530</v>
      </c>
      <c r="R820" s="1541">
        <f t="shared" si="23"/>
        <v>0</v>
      </c>
    </row>
    <row r="821" spans="1:18" x14ac:dyDescent="0.3">
      <c r="A821" s="1852" t="s">
        <v>3026</v>
      </c>
      <c r="B821" s="1462"/>
      <c r="C821" s="1456">
        <v>1650</v>
      </c>
      <c r="D821" s="1456">
        <v>1650</v>
      </c>
      <c r="E821" s="1462"/>
      <c r="O821" s="1541">
        <f t="shared" si="23"/>
        <v>0</v>
      </c>
      <c r="P821" s="1541">
        <f t="shared" si="23"/>
        <v>1650</v>
      </c>
      <c r="Q821" s="1541">
        <f t="shared" si="23"/>
        <v>1650</v>
      </c>
      <c r="R821" s="1541">
        <f t="shared" si="23"/>
        <v>0</v>
      </c>
    </row>
    <row r="822" spans="1:18" x14ac:dyDescent="0.3">
      <c r="A822" s="1855" t="s">
        <v>3027</v>
      </c>
      <c r="B822" s="1462"/>
      <c r="C822" s="1456">
        <v>400</v>
      </c>
      <c r="D822" s="1456">
        <v>400</v>
      </c>
      <c r="E822" s="1462"/>
      <c r="O822" s="1541">
        <f t="shared" si="23"/>
        <v>0</v>
      </c>
      <c r="P822" s="1541">
        <f t="shared" si="23"/>
        <v>400</v>
      </c>
      <c r="Q822" s="1541">
        <f t="shared" si="23"/>
        <v>400</v>
      </c>
      <c r="R822" s="1541">
        <f t="shared" si="23"/>
        <v>0</v>
      </c>
    </row>
    <row r="823" spans="1:18" x14ac:dyDescent="0.3">
      <c r="A823" s="1852" t="s">
        <v>3028</v>
      </c>
      <c r="B823" s="1462"/>
      <c r="C823" s="1456">
        <v>1620</v>
      </c>
      <c r="D823" s="1456">
        <v>1620</v>
      </c>
      <c r="E823" s="1462"/>
      <c r="O823" s="1541">
        <f t="shared" si="23"/>
        <v>0</v>
      </c>
      <c r="P823" s="1541">
        <f t="shared" si="23"/>
        <v>1620</v>
      </c>
      <c r="Q823" s="1541">
        <f t="shared" si="23"/>
        <v>1620</v>
      </c>
      <c r="R823" s="1541">
        <f t="shared" si="23"/>
        <v>0</v>
      </c>
    </row>
    <row r="824" spans="1:18" x14ac:dyDescent="0.3">
      <c r="A824" s="1852" t="s">
        <v>3029</v>
      </c>
      <c r="B824" s="1462"/>
      <c r="C824" s="1456">
        <v>200</v>
      </c>
      <c r="D824" s="1456">
        <v>200</v>
      </c>
      <c r="E824" s="1462"/>
      <c r="O824" s="1541">
        <f t="shared" si="23"/>
        <v>0</v>
      </c>
      <c r="P824" s="1541">
        <f t="shared" si="23"/>
        <v>200</v>
      </c>
      <c r="Q824" s="1541">
        <f t="shared" si="23"/>
        <v>200</v>
      </c>
      <c r="R824" s="1541">
        <f t="shared" si="23"/>
        <v>0</v>
      </c>
    </row>
    <row r="825" spans="1:18" x14ac:dyDescent="0.3">
      <c r="A825" s="1852" t="s">
        <v>3030</v>
      </c>
      <c r="B825" s="1462"/>
      <c r="C825" s="1456">
        <v>2640</v>
      </c>
      <c r="D825" s="1456">
        <v>2640</v>
      </c>
      <c r="E825" s="1462"/>
      <c r="O825" s="1541">
        <f t="shared" si="23"/>
        <v>0</v>
      </c>
      <c r="P825" s="1541">
        <f t="shared" si="23"/>
        <v>2640</v>
      </c>
      <c r="Q825" s="1541">
        <f t="shared" si="23"/>
        <v>2640</v>
      </c>
      <c r="R825" s="1541">
        <f t="shared" si="23"/>
        <v>0</v>
      </c>
    </row>
    <row r="826" spans="1:18" x14ac:dyDescent="0.3">
      <c r="A826" s="1855" t="s">
        <v>3031</v>
      </c>
      <c r="B826" s="1462"/>
      <c r="C826" s="1456">
        <v>10624</v>
      </c>
      <c r="D826" s="1456">
        <v>10624</v>
      </c>
      <c r="E826" s="1462"/>
      <c r="O826" s="1541">
        <f t="shared" si="23"/>
        <v>0</v>
      </c>
      <c r="P826" s="1541">
        <f t="shared" si="23"/>
        <v>10624</v>
      </c>
      <c r="Q826" s="1541">
        <f t="shared" si="23"/>
        <v>10624</v>
      </c>
      <c r="R826" s="1541">
        <f t="shared" si="23"/>
        <v>0</v>
      </c>
    </row>
    <row r="827" spans="1:18" x14ac:dyDescent="0.3">
      <c r="A827" s="1852" t="s">
        <v>3032</v>
      </c>
      <c r="B827" s="1462"/>
      <c r="C827" s="1456">
        <v>5872</v>
      </c>
      <c r="D827" s="1456">
        <v>5872</v>
      </c>
      <c r="E827" s="1462"/>
      <c r="O827" s="1541">
        <f t="shared" si="23"/>
        <v>0</v>
      </c>
      <c r="P827" s="1541">
        <f t="shared" si="23"/>
        <v>5872</v>
      </c>
      <c r="Q827" s="1541">
        <f t="shared" si="23"/>
        <v>5872</v>
      </c>
      <c r="R827" s="1541">
        <f t="shared" si="23"/>
        <v>0</v>
      </c>
    </row>
    <row r="828" spans="1:18" x14ac:dyDescent="0.3">
      <c r="A828" s="1852" t="s">
        <v>3033</v>
      </c>
      <c r="B828" s="1462"/>
      <c r="C828" s="1456">
        <v>9705</v>
      </c>
      <c r="D828" s="1456">
        <v>9705</v>
      </c>
      <c r="E828" s="1462"/>
      <c r="O828" s="1541">
        <f t="shared" si="23"/>
        <v>0</v>
      </c>
      <c r="P828" s="1541">
        <f t="shared" si="23"/>
        <v>9705</v>
      </c>
      <c r="Q828" s="1541">
        <f t="shared" si="23"/>
        <v>9705</v>
      </c>
      <c r="R828" s="1541">
        <f t="shared" si="23"/>
        <v>0</v>
      </c>
    </row>
    <row r="829" spans="1:18" x14ac:dyDescent="0.3">
      <c r="A829" s="1852" t="s">
        <v>3034</v>
      </c>
      <c r="B829" s="1462"/>
      <c r="C829" s="1456">
        <v>3320</v>
      </c>
      <c r="D829" s="1456">
        <v>3320</v>
      </c>
      <c r="E829" s="1462"/>
      <c r="O829" s="1541">
        <f t="shared" si="23"/>
        <v>0</v>
      </c>
      <c r="P829" s="1541">
        <f t="shared" si="23"/>
        <v>3320</v>
      </c>
      <c r="Q829" s="1541">
        <f t="shared" si="23"/>
        <v>3320</v>
      </c>
      <c r="R829" s="1541">
        <f t="shared" si="23"/>
        <v>0</v>
      </c>
    </row>
    <row r="830" spans="1:18" x14ac:dyDescent="0.3">
      <c r="A830" s="1852" t="s">
        <v>3035</v>
      </c>
      <c r="B830" s="1462"/>
      <c r="C830" s="1456">
        <v>41530.019999999997</v>
      </c>
      <c r="D830" s="1456">
        <v>41530</v>
      </c>
      <c r="E830" s="1896">
        <v>0.02</v>
      </c>
      <c r="O830" s="1541">
        <f t="shared" si="23"/>
        <v>0</v>
      </c>
      <c r="P830" s="1541">
        <f t="shared" si="23"/>
        <v>41530.019999999997</v>
      </c>
      <c r="Q830" s="1541">
        <f t="shared" si="23"/>
        <v>41530</v>
      </c>
      <c r="R830" s="1541">
        <f t="shared" si="23"/>
        <v>0.02</v>
      </c>
    </row>
    <row r="831" spans="1:18" x14ac:dyDescent="0.3">
      <c r="A831" s="1852" t="s">
        <v>3036</v>
      </c>
      <c r="B831" s="1462"/>
      <c r="C831" s="1456">
        <v>1680</v>
      </c>
      <c r="D831" s="1456">
        <v>3360</v>
      </c>
      <c r="E831" s="1471">
        <v>-1680</v>
      </c>
      <c r="O831" s="1541">
        <f t="shared" si="23"/>
        <v>0</v>
      </c>
      <c r="P831" s="1541">
        <f t="shared" si="23"/>
        <v>1680</v>
      </c>
      <c r="Q831" s="1541">
        <f t="shared" si="23"/>
        <v>3360</v>
      </c>
      <c r="R831" s="1541">
        <f t="shared" si="23"/>
        <v>-1680</v>
      </c>
    </row>
    <row r="832" spans="1:18" x14ac:dyDescent="0.3">
      <c r="A832" s="1852" t="s">
        <v>3037</v>
      </c>
      <c r="B832" s="1462"/>
      <c r="C832" s="1456">
        <v>446</v>
      </c>
      <c r="D832" s="1456">
        <v>446</v>
      </c>
      <c r="E832" s="1462"/>
      <c r="O832" s="1541">
        <f t="shared" si="23"/>
        <v>0</v>
      </c>
      <c r="P832" s="1541">
        <f t="shared" si="23"/>
        <v>446</v>
      </c>
      <c r="Q832" s="1541">
        <f t="shared" si="23"/>
        <v>446</v>
      </c>
      <c r="R832" s="1541">
        <f t="shared" si="23"/>
        <v>0</v>
      </c>
    </row>
    <row r="833" spans="1:18" x14ac:dyDescent="0.3">
      <c r="A833" s="1852" t="s">
        <v>3038</v>
      </c>
      <c r="B833" s="1462"/>
      <c r="C833" s="1456">
        <v>1036</v>
      </c>
      <c r="D833" s="1456">
        <v>1036</v>
      </c>
      <c r="E833" s="1462"/>
      <c r="O833" s="1541">
        <f t="shared" si="23"/>
        <v>0</v>
      </c>
      <c r="P833" s="1541">
        <f t="shared" si="23"/>
        <v>1036</v>
      </c>
      <c r="Q833" s="1541">
        <f t="shared" si="23"/>
        <v>1036</v>
      </c>
      <c r="R833" s="1541">
        <f t="shared" si="23"/>
        <v>0</v>
      </c>
    </row>
    <row r="834" spans="1:18" x14ac:dyDescent="0.3">
      <c r="A834" s="1852" t="s">
        <v>3039</v>
      </c>
      <c r="B834" s="1462"/>
      <c r="C834" s="1456">
        <v>330</v>
      </c>
      <c r="D834" s="1456">
        <v>330</v>
      </c>
      <c r="E834" s="1462"/>
      <c r="O834" s="1541">
        <f t="shared" si="23"/>
        <v>0</v>
      </c>
      <c r="P834" s="1541">
        <f t="shared" si="23"/>
        <v>330</v>
      </c>
      <c r="Q834" s="1541">
        <f t="shared" si="23"/>
        <v>330</v>
      </c>
      <c r="R834" s="1541">
        <f t="shared" si="23"/>
        <v>0</v>
      </c>
    </row>
    <row r="835" spans="1:18" x14ac:dyDescent="0.3">
      <c r="A835" s="1855" t="s">
        <v>3040</v>
      </c>
      <c r="B835" s="1462"/>
      <c r="C835" s="1456">
        <v>522</v>
      </c>
      <c r="D835" s="1456">
        <v>522</v>
      </c>
      <c r="E835" s="1462"/>
      <c r="O835" s="1541">
        <f t="shared" si="23"/>
        <v>0</v>
      </c>
      <c r="P835" s="1541">
        <f t="shared" si="23"/>
        <v>522</v>
      </c>
      <c r="Q835" s="1541">
        <f t="shared" si="23"/>
        <v>522</v>
      </c>
      <c r="R835" s="1541">
        <f t="shared" si="23"/>
        <v>0</v>
      </c>
    </row>
    <row r="836" spans="1:18" x14ac:dyDescent="0.3">
      <c r="A836" s="1852" t="s">
        <v>3041</v>
      </c>
      <c r="B836" s="1462"/>
      <c r="C836" s="1456">
        <v>306</v>
      </c>
      <c r="D836" s="1456">
        <v>306</v>
      </c>
      <c r="E836" s="1462"/>
      <c r="O836" s="1541">
        <f t="shared" si="23"/>
        <v>0</v>
      </c>
      <c r="P836" s="1541">
        <f t="shared" si="23"/>
        <v>306</v>
      </c>
      <c r="Q836" s="1541">
        <f t="shared" si="23"/>
        <v>306</v>
      </c>
      <c r="R836" s="1541">
        <f t="shared" si="23"/>
        <v>0</v>
      </c>
    </row>
    <row r="837" spans="1:18" x14ac:dyDescent="0.3">
      <c r="A837" s="1852" t="s">
        <v>3042</v>
      </c>
      <c r="B837" s="1462"/>
      <c r="C837" s="1456">
        <v>19150</v>
      </c>
      <c r="D837" s="1456">
        <v>19150</v>
      </c>
      <c r="E837" s="1462"/>
      <c r="O837" s="1541">
        <f t="shared" si="23"/>
        <v>0</v>
      </c>
      <c r="P837" s="1541">
        <f t="shared" si="23"/>
        <v>19150</v>
      </c>
      <c r="Q837" s="1541">
        <f t="shared" si="23"/>
        <v>19150</v>
      </c>
      <c r="R837" s="1541">
        <f t="shared" si="23"/>
        <v>0</v>
      </c>
    </row>
    <row r="838" spans="1:18" x14ac:dyDescent="0.3">
      <c r="A838" s="1855" t="s">
        <v>3043</v>
      </c>
      <c r="B838" s="1462"/>
      <c r="C838" s="1456">
        <v>3300</v>
      </c>
      <c r="D838" s="1456">
        <v>3300</v>
      </c>
      <c r="E838" s="1462"/>
      <c r="O838" s="1541">
        <f t="shared" si="23"/>
        <v>0</v>
      </c>
      <c r="P838" s="1541">
        <f t="shared" si="23"/>
        <v>3300</v>
      </c>
      <c r="Q838" s="1541">
        <f t="shared" si="23"/>
        <v>3300</v>
      </c>
      <c r="R838" s="1541">
        <f t="shared" si="23"/>
        <v>0</v>
      </c>
    </row>
    <row r="839" spans="1:18" x14ac:dyDescent="0.3">
      <c r="A839" s="1855" t="s">
        <v>3044</v>
      </c>
      <c r="B839" s="1462"/>
      <c r="C839" s="1456">
        <v>1120</v>
      </c>
      <c r="D839" s="1456">
        <v>1120</v>
      </c>
      <c r="E839" s="1462"/>
      <c r="O839" s="1541">
        <f t="shared" si="23"/>
        <v>0</v>
      </c>
      <c r="P839" s="1541">
        <f t="shared" si="23"/>
        <v>1120</v>
      </c>
      <c r="Q839" s="1541">
        <f t="shared" si="23"/>
        <v>1120</v>
      </c>
      <c r="R839" s="1541">
        <f t="shared" si="23"/>
        <v>0</v>
      </c>
    </row>
    <row r="840" spans="1:18" x14ac:dyDescent="0.3">
      <c r="A840" s="1852" t="s">
        <v>3045</v>
      </c>
      <c r="B840" s="1462"/>
      <c r="C840" s="1456">
        <v>1700</v>
      </c>
      <c r="D840" s="1456">
        <v>1700</v>
      </c>
      <c r="E840" s="1462"/>
      <c r="O840" s="1541">
        <f t="shared" si="23"/>
        <v>0</v>
      </c>
      <c r="P840" s="1541">
        <f t="shared" si="23"/>
        <v>1700</v>
      </c>
      <c r="Q840" s="1541">
        <f t="shared" si="23"/>
        <v>1700</v>
      </c>
      <c r="R840" s="1541">
        <f t="shared" si="23"/>
        <v>0</v>
      </c>
    </row>
    <row r="841" spans="1:18" x14ac:dyDescent="0.3">
      <c r="A841" s="1852" t="s">
        <v>3046</v>
      </c>
      <c r="B841" s="1462"/>
      <c r="C841" s="1456">
        <v>200</v>
      </c>
      <c r="D841" s="1456">
        <v>200</v>
      </c>
      <c r="E841" s="1462"/>
      <c r="O841" s="1541">
        <f t="shared" si="23"/>
        <v>0</v>
      </c>
      <c r="P841" s="1541">
        <f t="shared" si="23"/>
        <v>200</v>
      </c>
      <c r="Q841" s="1541">
        <f t="shared" si="23"/>
        <v>200</v>
      </c>
      <c r="R841" s="1541">
        <f t="shared" si="23"/>
        <v>0</v>
      </c>
    </row>
    <row r="842" spans="1:18" x14ac:dyDescent="0.3">
      <c r="A842" s="1852" t="s">
        <v>3047</v>
      </c>
      <c r="B842" s="1462"/>
      <c r="C842" s="1456">
        <v>200</v>
      </c>
      <c r="D842" s="1456">
        <v>200</v>
      </c>
      <c r="E842" s="1462"/>
      <c r="O842" s="1541">
        <f t="shared" si="23"/>
        <v>0</v>
      </c>
      <c r="P842" s="1541">
        <f t="shared" si="23"/>
        <v>200</v>
      </c>
      <c r="Q842" s="1541">
        <f t="shared" si="23"/>
        <v>200</v>
      </c>
      <c r="R842" s="1541">
        <f t="shared" si="23"/>
        <v>0</v>
      </c>
    </row>
    <row r="843" spans="1:18" x14ac:dyDescent="0.3">
      <c r="A843" s="1852" t="s">
        <v>3048</v>
      </c>
      <c r="B843" s="1462"/>
      <c r="C843" s="1456">
        <v>33295</v>
      </c>
      <c r="D843" s="1456">
        <v>33295</v>
      </c>
      <c r="E843" s="1462"/>
      <c r="O843" s="1541">
        <f t="shared" si="23"/>
        <v>0</v>
      </c>
      <c r="P843" s="1541">
        <f t="shared" si="23"/>
        <v>33295</v>
      </c>
      <c r="Q843" s="1541">
        <f t="shared" si="23"/>
        <v>33295</v>
      </c>
      <c r="R843" s="1541">
        <f t="shared" si="23"/>
        <v>0</v>
      </c>
    </row>
    <row r="844" spans="1:18" x14ac:dyDescent="0.3">
      <c r="A844" s="1852" t="s">
        <v>3049</v>
      </c>
      <c r="B844" s="1462"/>
      <c r="C844" s="1456">
        <v>140</v>
      </c>
      <c r="D844" s="1456">
        <v>140</v>
      </c>
      <c r="E844" s="1462"/>
      <c r="O844" s="1541">
        <f t="shared" si="23"/>
        <v>0</v>
      </c>
      <c r="P844" s="1541">
        <f t="shared" si="23"/>
        <v>140</v>
      </c>
      <c r="Q844" s="1541">
        <f t="shared" si="23"/>
        <v>140</v>
      </c>
      <c r="R844" s="1541">
        <f t="shared" si="23"/>
        <v>0</v>
      </c>
    </row>
    <row r="845" spans="1:18" x14ac:dyDescent="0.3">
      <c r="A845" s="1855" t="s">
        <v>3050</v>
      </c>
      <c r="B845" s="1462"/>
      <c r="C845" s="1456">
        <v>540</v>
      </c>
      <c r="D845" s="1456">
        <v>540</v>
      </c>
      <c r="E845" s="1462"/>
      <c r="O845" s="1541">
        <f t="shared" si="23"/>
        <v>0</v>
      </c>
      <c r="P845" s="1541">
        <f t="shared" si="23"/>
        <v>540</v>
      </c>
      <c r="Q845" s="1541">
        <f t="shared" si="23"/>
        <v>540</v>
      </c>
      <c r="R845" s="1541">
        <f t="shared" si="23"/>
        <v>0</v>
      </c>
    </row>
    <row r="846" spans="1:18" x14ac:dyDescent="0.3">
      <c r="A846" s="1855" t="s">
        <v>3051</v>
      </c>
      <c r="B846" s="1462"/>
      <c r="C846" s="1456">
        <v>926</v>
      </c>
      <c r="D846" s="1456">
        <v>926</v>
      </c>
      <c r="E846" s="1462"/>
      <c r="O846" s="1541">
        <f t="shared" si="23"/>
        <v>0</v>
      </c>
      <c r="P846" s="1541">
        <f t="shared" si="23"/>
        <v>926</v>
      </c>
      <c r="Q846" s="1541">
        <f t="shared" si="23"/>
        <v>926</v>
      </c>
      <c r="R846" s="1541">
        <f t="shared" si="23"/>
        <v>0</v>
      </c>
    </row>
    <row r="847" spans="1:18" x14ac:dyDescent="0.3">
      <c r="A847" s="1855" t="s">
        <v>3052</v>
      </c>
      <c r="B847" s="1462"/>
      <c r="C847" s="1456">
        <v>1116</v>
      </c>
      <c r="D847" s="1456">
        <v>1116</v>
      </c>
      <c r="E847" s="1462"/>
      <c r="O847" s="1541">
        <f t="shared" si="23"/>
        <v>0</v>
      </c>
      <c r="P847" s="1541">
        <f t="shared" si="23"/>
        <v>1116</v>
      </c>
      <c r="Q847" s="1541">
        <f t="shared" si="23"/>
        <v>1116</v>
      </c>
      <c r="R847" s="1541">
        <f t="shared" si="23"/>
        <v>0</v>
      </c>
    </row>
    <row r="848" spans="1:18" x14ac:dyDescent="0.3">
      <c r="A848" s="1852" t="s">
        <v>3053</v>
      </c>
      <c r="B848" s="1462"/>
      <c r="C848" s="1456">
        <v>1438</v>
      </c>
      <c r="D848" s="1456">
        <v>1438</v>
      </c>
      <c r="E848" s="1462"/>
      <c r="O848" s="1541">
        <f t="shared" si="23"/>
        <v>0</v>
      </c>
      <c r="P848" s="1541">
        <f t="shared" si="23"/>
        <v>1438</v>
      </c>
      <c r="Q848" s="1541">
        <f t="shared" si="23"/>
        <v>1438</v>
      </c>
      <c r="R848" s="1541">
        <f t="shared" si="23"/>
        <v>0</v>
      </c>
    </row>
    <row r="849" spans="1:18" x14ac:dyDescent="0.3">
      <c r="A849" s="1855" t="s">
        <v>3054</v>
      </c>
      <c r="B849" s="1462"/>
      <c r="C849" s="1456">
        <v>700</v>
      </c>
      <c r="D849" s="1456">
        <v>700</v>
      </c>
      <c r="E849" s="1462"/>
      <c r="O849" s="1541">
        <f t="shared" si="23"/>
        <v>0</v>
      </c>
      <c r="P849" s="1541">
        <f t="shared" si="23"/>
        <v>700</v>
      </c>
      <c r="Q849" s="1541">
        <f t="shared" si="23"/>
        <v>700</v>
      </c>
      <c r="R849" s="1541">
        <f t="shared" si="23"/>
        <v>0</v>
      </c>
    </row>
    <row r="850" spans="1:18" x14ac:dyDescent="0.3">
      <c r="A850" s="1855" t="s">
        <v>3055</v>
      </c>
      <c r="B850" s="1462"/>
      <c r="C850" s="1456">
        <v>13135.01</v>
      </c>
      <c r="D850" s="1456">
        <v>13134.98</v>
      </c>
      <c r="E850" s="1896">
        <v>0.03</v>
      </c>
      <c r="O850" s="1541">
        <f t="shared" si="23"/>
        <v>0</v>
      </c>
      <c r="P850" s="1541">
        <f t="shared" si="23"/>
        <v>13135.01</v>
      </c>
      <c r="Q850" s="1541">
        <f t="shared" si="23"/>
        <v>13134.98</v>
      </c>
      <c r="R850" s="1541">
        <f t="shared" si="23"/>
        <v>0.03</v>
      </c>
    </row>
    <row r="851" spans="1:18" x14ac:dyDescent="0.3">
      <c r="A851" s="1855" t="s">
        <v>3056</v>
      </c>
      <c r="B851" s="1462"/>
      <c r="C851" s="1456">
        <v>13773.01</v>
      </c>
      <c r="D851" s="1456">
        <v>13773</v>
      </c>
      <c r="E851" s="1896">
        <v>0.01</v>
      </c>
      <c r="O851" s="1541">
        <f t="shared" si="23"/>
        <v>0</v>
      </c>
      <c r="P851" s="1541">
        <f t="shared" si="23"/>
        <v>13773.01</v>
      </c>
      <c r="Q851" s="1541">
        <f t="shared" si="23"/>
        <v>13773</v>
      </c>
      <c r="R851" s="1541">
        <f t="shared" si="23"/>
        <v>0.01</v>
      </c>
    </row>
    <row r="852" spans="1:18" x14ac:dyDescent="0.3">
      <c r="A852" s="1852" t="s">
        <v>3057</v>
      </c>
      <c r="B852" s="1462"/>
      <c r="C852" s="1456">
        <v>3890</v>
      </c>
      <c r="D852" s="1456">
        <v>3890</v>
      </c>
      <c r="E852" s="1462"/>
      <c r="O852" s="1541">
        <f t="shared" si="23"/>
        <v>0</v>
      </c>
      <c r="P852" s="1541">
        <f t="shared" si="23"/>
        <v>3890</v>
      </c>
      <c r="Q852" s="1541">
        <f t="shared" si="23"/>
        <v>3890</v>
      </c>
      <c r="R852" s="1541">
        <f t="shared" si="23"/>
        <v>0</v>
      </c>
    </row>
    <row r="853" spans="1:18" x14ac:dyDescent="0.3">
      <c r="A853" s="1852" t="s">
        <v>3058</v>
      </c>
      <c r="B853" s="1462"/>
      <c r="C853" s="1456">
        <v>13109</v>
      </c>
      <c r="D853" s="1456">
        <v>13109</v>
      </c>
      <c r="E853" s="1462"/>
      <c r="O853" s="1541">
        <f t="shared" si="23"/>
        <v>0</v>
      </c>
      <c r="P853" s="1541">
        <f t="shared" si="23"/>
        <v>13109</v>
      </c>
      <c r="Q853" s="1541">
        <f t="shared" si="23"/>
        <v>13109</v>
      </c>
      <c r="R853" s="1541">
        <f t="shared" si="23"/>
        <v>0</v>
      </c>
    </row>
    <row r="854" spans="1:18" x14ac:dyDescent="0.3">
      <c r="A854" s="1852" t="s">
        <v>3059</v>
      </c>
      <c r="B854" s="1462"/>
      <c r="C854" s="1456">
        <v>24049</v>
      </c>
      <c r="D854" s="1456">
        <v>24049</v>
      </c>
      <c r="E854" s="1462"/>
      <c r="O854" s="1541">
        <f t="shared" si="23"/>
        <v>0</v>
      </c>
      <c r="P854" s="1541">
        <f t="shared" si="23"/>
        <v>24049</v>
      </c>
      <c r="Q854" s="1541">
        <f t="shared" si="23"/>
        <v>24049</v>
      </c>
      <c r="R854" s="1541">
        <f t="shared" si="23"/>
        <v>0</v>
      </c>
    </row>
    <row r="855" spans="1:18" x14ac:dyDescent="0.3">
      <c r="A855" s="1852" t="s">
        <v>3060</v>
      </c>
      <c r="B855" s="1462"/>
      <c r="C855" s="1456">
        <v>1498</v>
      </c>
      <c r="D855" s="1456">
        <v>1498</v>
      </c>
      <c r="E855" s="1462"/>
      <c r="O855" s="1541">
        <f t="shared" si="23"/>
        <v>0</v>
      </c>
      <c r="P855" s="1541">
        <f t="shared" si="23"/>
        <v>1498</v>
      </c>
      <c r="Q855" s="1541">
        <f t="shared" si="23"/>
        <v>1498</v>
      </c>
      <c r="R855" s="1541">
        <f t="shared" si="23"/>
        <v>0</v>
      </c>
    </row>
    <row r="856" spans="1:18" x14ac:dyDescent="0.3">
      <c r="A856" s="1852" t="s">
        <v>3061</v>
      </c>
      <c r="B856" s="1462"/>
      <c r="C856" s="1456">
        <v>1232</v>
      </c>
      <c r="D856" s="1456">
        <v>1232</v>
      </c>
      <c r="E856" s="1462"/>
      <c r="O856" s="1541">
        <f t="shared" si="23"/>
        <v>0</v>
      </c>
      <c r="P856" s="1541">
        <f t="shared" si="23"/>
        <v>1232</v>
      </c>
      <c r="Q856" s="1541">
        <f t="shared" si="23"/>
        <v>1232</v>
      </c>
      <c r="R856" s="1541">
        <f t="shared" si="23"/>
        <v>0</v>
      </c>
    </row>
    <row r="857" spans="1:18" x14ac:dyDescent="0.3">
      <c r="A857" s="1852" t="s">
        <v>3062</v>
      </c>
      <c r="B857" s="1462"/>
      <c r="C857" s="1456">
        <v>532</v>
      </c>
      <c r="D857" s="1456">
        <v>532</v>
      </c>
      <c r="E857" s="1462"/>
      <c r="O857" s="1541">
        <f t="shared" si="23"/>
        <v>0</v>
      </c>
      <c r="P857" s="1541">
        <f t="shared" si="23"/>
        <v>532</v>
      </c>
      <c r="Q857" s="1541">
        <f t="shared" si="23"/>
        <v>532</v>
      </c>
      <c r="R857" s="1541">
        <f t="shared" si="23"/>
        <v>0</v>
      </c>
    </row>
    <row r="858" spans="1:18" x14ac:dyDescent="0.3">
      <c r="A858" s="1855" t="s">
        <v>3063</v>
      </c>
      <c r="B858" s="1462"/>
      <c r="C858" s="1456">
        <v>1084</v>
      </c>
      <c r="D858" s="1456">
        <v>1084</v>
      </c>
      <c r="E858" s="1462"/>
      <c r="O858" s="1541">
        <f t="shared" si="23"/>
        <v>0</v>
      </c>
      <c r="P858" s="1541">
        <f t="shared" si="23"/>
        <v>1084</v>
      </c>
      <c r="Q858" s="1541">
        <f t="shared" si="23"/>
        <v>1084</v>
      </c>
      <c r="R858" s="1541">
        <f t="shared" si="23"/>
        <v>0</v>
      </c>
    </row>
    <row r="859" spans="1:18" x14ac:dyDescent="0.3">
      <c r="A859" s="1852" t="s">
        <v>3064</v>
      </c>
      <c r="B859" s="1462"/>
      <c r="C859" s="1456">
        <v>280</v>
      </c>
      <c r="D859" s="1456">
        <v>280</v>
      </c>
      <c r="E859" s="1462"/>
      <c r="O859" s="1541">
        <f t="shared" si="23"/>
        <v>0</v>
      </c>
      <c r="P859" s="1541">
        <f t="shared" si="23"/>
        <v>280</v>
      </c>
      <c r="Q859" s="1541">
        <f t="shared" si="23"/>
        <v>280</v>
      </c>
      <c r="R859" s="1541">
        <f t="shared" si="23"/>
        <v>0</v>
      </c>
    </row>
    <row r="860" spans="1:18" x14ac:dyDescent="0.3">
      <c r="A860" s="1852" t="s">
        <v>3065</v>
      </c>
      <c r="B860" s="1462"/>
      <c r="C860" s="1456">
        <v>28320</v>
      </c>
      <c r="D860" s="1456">
        <v>28320</v>
      </c>
      <c r="E860" s="1462"/>
      <c r="O860" s="1541">
        <f t="shared" si="23"/>
        <v>0</v>
      </c>
      <c r="P860" s="1541">
        <f t="shared" si="23"/>
        <v>28320</v>
      </c>
      <c r="Q860" s="1541">
        <f t="shared" si="23"/>
        <v>28320</v>
      </c>
      <c r="R860" s="1541">
        <f t="shared" si="23"/>
        <v>0</v>
      </c>
    </row>
    <row r="861" spans="1:18" x14ac:dyDescent="0.3">
      <c r="A861" s="1852" t="s">
        <v>3066</v>
      </c>
      <c r="B861" s="1462"/>
      <c r="C861" s="1456">
        <v>39522</v>
      </c>
      <c r="D861" s="1456">
        <v>40643.910000000003</v>
      </c>
      <c r="E861" s="1471">
        <v>-1121.9100000000001</v>
      </c>
      <c r="O861" s="1541">
        <f t="shared" si="23"/>
        <v>0</v>
      </c>
      <c r="P861" s="1541">
        <f t="shared" si="23"/>
        <v>39522</v>
      </c>
      <c r="Q861" s="1541">
        <f t="shared" si="23"/>
        <v>40643.910000000003</v>
      </c>
      <c r="R861" s="1541">
        <f t="shared" si="23"/>
        <v>-1121.9100000000001</v>
      </c>
    </row>
    <row r="862" spans="1:18" x14ac:dyDescent="0.3">
      <c r="A862" s="1852" t="s">
        <v>3067</v>
      </c>
      <c r="B862" s="1462"/>
      <c r="C862" s="1456">
        <v>1892</v>
      </c>
      <c r="D862" s="1456">
        <v>1892</v>
      </c>
      <c r="E862" s="1462"/>
      <c r="O862" s="1541">
        <f t="shared" si="23"/>
        <v>0</v>
      </c>
      <c r="P862" s="1541">
        <f t="shared" si="23"/>
        <v>1892</v>
      </c>
      <c r="Q862" s="1541">
        <f t="shared" si="23"/>
        <v>1892</v>
      </c>
      <c r="R862" s="1541">
        <f t="shared" si="23"/>
        <v>0</v>
      </c>
    </row>
    <row r="863" spans="1:18" x14ac:dyDescent="0.3">
      <c r="A863" s="1852" t="s">
        <v>3068</v>
      </c>
      <c r="B863" s="1462"/>
      <c r="C863" s="1456">
        <v>16770</v>
      </c>
      <c r="D863" s="1456">
        <v>16770</v>
      </c>
      <c r="E863" s="1462"/>
      <c r="O863" s="1541">
        <f t="shared" si="23"/>
        <v>0</v>
      </c>
      <c r="P863" s="1541">
        <f t="shared" si="23"/>
        <v>16770</v>
      </c>
      <c r="Q863" s="1541">
        <f t="shared" si="23"/>
        <v>16770</v>
      </c>
      <c r="R863" s="1541">
        <f t="shared" si="23"/>
        <v>0</v>
      </c>
    </row>
    <row r="864" spans="1:18" x14ac:dyDescent="0.3">
      <c r="A864" s="1855" t="s">
        <v>3069</v>
      </c>
      <c r="B864" s="1462"/>
      <c r="C864" s="1456">
        <v>132036</v>
      </c>
      <c r="D864" s="1456">
        <v>132437</v>
      </c>
      <c r="E864" s="1471">
        <v>-401</v>
      </c>
      <c r="O864" s="1541">
        <f t="shared" si="23"/>
        <v>0</v>
      </c>
      <c r="P864" s="1541">
        <f t="shared" si="23"/>
        <v>132036</v>
      </c>
      <c r="Q864" s="1541">
        <f t="shared" si="23"/>
        <v>132437</v>
      </c>
      <c r="R864" s="1541">
        <f t="shared" si="23"/>
        <v>-401</v>
      </c>
    </row>
    <row r="865" spans="1:18" x14ac:dyDescent="0.3">
      <c r="A865" s="1852" t="s">
        <v>3070</v>
      </c>
      <c r="B865" s="1462"/>
      <c r="C865" s="1456">
        <v>2186</v>
      </c>
      <c r="D865" s="1456">
        <v>2186</v>
      </c>
      <c r="E865" s="1462"/>
      <c r="O865" s="1541">
        <f t="shared" si="23"/>
        <v>0</v>
      </c>
      <c r="P865" s="1541">
        <f t="shared" si="23"/>
        <v>2186</v>
      </c>
      <c r="Q865" s="1541">
        <f t="shared" si="23"/>
        <v>2186</v>
      </c>
      <c r="R865" s="1541">
        <f t="shared" si="23"/>
        <v>0</v>
      </c>
    </row>
    <row r="866" spans="1:18" x14ac:dyDescent="0.3">
      <c r="A866" s="1852" t="s">
        <v>3071</v>
      </c>
      <c r="B866" s="1462"/>
      <c r="C866" s="1456">
        <v>446</v>
      </c>
      <c r="D866" s="1456">
        <v>446</v>
      </c>
      <c r="E866" s="1462"/>
      <c r="O866" s="1541">
        <f t="shared" si="23"/>
        <v>0</v>
      </c>
      <c r="P866" s="1541">
        <f t="shared" si="23"/>
        <v>446</v>
      </c>
      <c r="Q866" s="1541">
        <f t="shared" si="23"/>
        <v>446</v>
      </c>
      <c r="R866" s="1541">
        <f t="shared" si="23"/>
        <v>0</v>
      </c>
    </row>
    <row r="867" spans="1:18" x14ac:dyDescent="0.3">
      <c r="A867" s="1852" t="s">
        <v>3072</v>
      </c>
      <c r="B867" s="1462"/>
      <c r="C867" s="1456">
        <v>2450</v>
      </c>
      <c r="D867" s="1456">
        <v>2450</v>
      </c>
      <c r="E867" s="1462"/>
      <c r="O867" s="1541">
        <f t="shared" si="23"/>
        <v>0</v>
      </c>
      <c r="P867" s="1541">
        <f t="shared" si="23"/>
        <v>2450</v>
      </c>
      <c r="Q867" s="1541">
        <f t="shared" si="23"/>
        <v>2450</v>
      </c>
      <c r="R867" s="1541">
        <f t="shared" si="23"/>
        <v>0</v>
      </c>
    </row>
    <row r="868" spans="1:18" x14ac:dyDescent="0.3">
      <c r="A868" s="1852" t="s">
        <v>3073</v>
      </c>
      <c r="B868" s="1462"/>
      <c r="C868" s="1456">
        <v>472</v>
      </c>
      <c r="D868" s="1456">
        <v>472</v>
      </c>
      <c r="E868" s="1462"/>
      <c r="O868" s="1541">
        <f t="shared" si="23"/>
        <v>0</v>
      </c>
      <c r="P868" s="1541">
        <f t="shared" si="23"/>
        <v>472</v>
      </c>
      <c r="Q868" s="1541">
        <f t="shared" si="23"/>
        <v>472</v>
      </c>
      <c r="R868" s="1541">
        <f t="shared" si="23"/>
        <v>0</v>
      </c>
    </row>
    <row r="869" spans="1:18" x14ac:dyDescent="0.3">
      <c r="A869" s="1855" t="s">
        <v>3074</v>
      </c>
      <c r="B869" s="1462"/>
      <c r="C869" s="1456">
        <v>1806</v>
      </c>
      <c r="D869" s="1456">
        <v>1806</v>
      </c>
      <c r="E869" s="1462"/>
      <c r="O869" s="1541">
        <f t="shared" si="23"/>
        <v>0</v>
      </c>
      <c r="P869" s="1541">
        <f t="shared" si="23"/>
        <v>1806</v>
      </c>
      <c r="Q869" s="1541">
        <f t="shared" si="23"/>
        <v>1806</v>
      </c>
      <c r="R869" s="1541">
        <f t="shared" si="23"/>
        <v>0</v>
      </c>
    </row>
    <row r="870" spans="1:18" x14ac:dyDescent="0.3">
      <c r="A870" s="1855" t="s">
        <v>3075</v>
      </c>
      <c r="B870" s="1462"/>
      <c r="C870" s="1456">
        <v>16004</v>
      </c>
      <c r="D870" s="1456">
        <v>16004</v>
      </c>
      <c r="E870" s="1462"/>
      <c r="O870" s="1541">
        <f t="shared" si="23"/>
        <v>0</v>
      </c>
      <c r="P870" s="1541">
        <f t="shared" si="23"/>
        <v>16004</v>
      </c>
      <c r="Q870" s="1541">
        <f t="shared" si="23"/>
        <v>16004</v>
      </c>
      <c r="R870" s="1541">
        <f t="shared" si="23"/>
        <v>0</v>
      </c>
    </row>
    <row r="871" spans="1:18" x14ac:dyDescent="0.3">
      <c r="A871" s="1852" t="s">
        <v>3076</v>
      </c>
      <c r="B871" s="1462"/>
      <c r="C871" s="1456">
        <v>1220</v>
      </c>
      <c r="D871" s="1456">
        <v>1220</v>
      </c>
      <c r="E871" s="1462"/>
      <c r="O871" s="1541">
        <f t="shared" si="23"/>
        <v>0</v>
      </c>
      <c r="P871" s="1541">
        <f t="shared" si="23"/>
        <v>1220</v>
      </c>
      <c r="Q871" s="1541">
        <f t="shared" si="23"/>
        <v>1220</v>
      </c>
      <c r="R871" s="1541">
        <f t="shared" si="23"/>
        <v>0</v>
      </c>
    </row>
    <row r="872" spans="1:18" x14ac:dyDescent="0.3">
      <c r="A872" s="1852" t="s">
        <v>3077</v>
      </c>
      <c r="B872" s="1462"/>
      <c r="C872" s="1456">
        <v>3328</v>
      </c>
      <c r="D872" s="1456">
        <v>3328</v>
      </c>
      <c r="E872" s="1462"/>
      <c r="O872" s="1541">
        <f t="shared" si="23"/>
        <v>0</v>
      </c>
      <c r="P872" s="1541">
        <f t="shared" si="23"/>
        <v>3328</v>
      </c>
      <c r="Q872" s="1541">
        <f t="shared" si="23"/>
        <v>3328</v>
      </c>
      <c r="R872" s="1541">
        <f t="shared" si="23"/>
        <v>0</v>
      </c>
    </row>
    <row r="873" spans="1:18" x14ac:dyDescent="0.3">
      <c r="A873" s="1852" t="s">
        <v>3078</v>
      </c>
      <c r="B873" s="1462"/>
      <c r="C873" s="1456">
        <v>12012</v>
      </c>
      <c r="D873" s="1456">
        <v>10952</v>
      </c>
      <c r="E873" s="1896">
        <v>1060</v>
      </c>
      <c r="O873" s="1541">
        <f t="shared" si="23"/>
        <v>0</v>
      </c>
      <c r="P873" s="1541">
        <f t="shared" si="23"/>
        <v>12012</v>
      </c>
      <c r="Q873" s="1541">
        <f t="shared" si="23"/>
        <v>10952</v>
      </c>
      <c r="R873" s="1541">
        <f t="shared" si="23"/>
        <v>1060</v>
      </c>
    </row>
    <row r="874" spans="1:18" x14ac:dyDescent="0.3">
      <c r="A874" s="1852" t="s">
        <v>3079</v>
      </c>
      <c r="B874" s="1462"/>
      <c r="C874" s="1456">
        <v>3972</v>
      </c>
      <c r="D874" s="1456">
        <v>3972</v>
      </c>
      <c r="E874" s="1462"/>
      <c r="O874" s="1541">
        <f t="shared" si="23"/>
        <v>0</v>
      </c>
      <c r="P874" s="1541">
        <f t="shared" si="23"/>
        <v>3972</v>
      </c>
      <c r="Q874" s="1541">
        <f t="shared" si="23"/>
        <v>3972</v>
      </c>
      <c r="R874" s="1541">
        <f t="shared" si="23"/>
        <v>0</v>
      </c>
    </row>
    <row r="875" spans="1:18" x14ac:dyDescent="0.3">
      <c r="A875" s="1852" t="s">
        <v>3080</v>
      </c>
      <c r="B875" s="1462"/>
      <c r="C875" s="1456">
        <v>2074</v>
      </c>
      <c r="D875" s="1456">
        <v>2074</v>
      </c>
      <c r="E875" s="1462"/>
      <c r="O875" s="1541">
        <f t="shared" si="23"/>
        <v>0</v>
      </c>
      <c r="P875" s="1541">
        <f t="shared" si="23"/>
        <v>2074</v>
      </c>
      <c r="Q875" s="1541">
        <f t="shared" si="23"/>
        <v>2074</v>
      </c>
      <c r="R875" s="1541">
        <f t="shared" si="23"/>
        <v>0</v>
      </c>
    </row>
    <row r="876" spans="1:18" x14ac:dyDescent="0.3">
      <c r="A876" s="1855" t="s">
        <v>3081</v>
      </c>
      <c r="B876" s="1462"/>
      <c r="C876" s="1456">
        <v>360</v>
      </c>
      <c r="D876" s="1456">
        <v>360</v>
      </c>
      <c r="E876" s="1462"/>
      <c r="O876" s="1541">
        <f t="shared" si="23"/>
        <v>0</v>
      </c>
      <c r="P876" s="1541">
        <f t="shared" si="23"/>
        <v>360</v>
      </c>
      <c r="Q876" s="1541">
        <f t="shared" si="23"/>
        <v>360</v>
      </c>
      <c r="R876" s="1541">
        <f t="shared" si="23"/>
        <v>0</v>
      </c>
    </row>
    <row r="877" spans="1:18" x14ac:dyDescent="0.3">
      <c r="A877" s="1852" t="s">
        <v>3082</v>
      </c>
      <c r="B877" s="1462"/>
      <c r="C877" s="1456">
        <v>3192</v>
      </c>
      <c r="D877" s="1456">
        <v>3192</v>
      </c>
      <c r="E877" s="1462"/>
      <c r="O877" s="1541">
        <f t="shared" si="23"/>
        <v>0</v>
      </c>
      <c r="P877" s="1541">
        <f t="shared" si="23"/>
        <v>3192</v>
      </c>
      <c r="Q877" s="1541">
        <f t="shared" si="23"/>
        <v>3192</v>
      </c>
      <c r="R877" s="1541">
        <f t="shared" si="23"/>
        <v>0</v>
      </c>
    </row>
    <row r="878" spans="1:18" x14ac:dyDescent="0.3">
      <c r="A878" s="1852" t="s">
        <v>3083</v>
      </c>
      <c r="B878" s="1462"/>
      <c r="C878" s="1456">
        <v>1826</v>
      </c>
      <c r="D878" s="1456">
        <v>1826</v>
      </c>
      <c r="E878" s="1462"/>
      <c r="O878" s="1541">
        <f t="shared" si="23"/>
        <v>0</v>
      </c>
      <c r="P878" s="1541">
        <f t="shared" si="23"/>
        <v>1826</v>
      </c>
      <c r="Q878" s="1541">
        <f t="shared" si="23"/>
        <v>1826</v>
      </c>
      <c r="R878" s="1541">
        <f t="shared" ref="R878:R941" si="24">E878+L878</f>
        <v>0</v>
      </c>
    </row>
    <row r="879" spans="1:18" x14ac:dyDescent="0.3">
      <c r="A879" s="1852" t="s">
        <v>3084</v>
      </c>
      <c r="B879" s="1462"/>
      <c r="C879" s="1456">
        <v>15490</v>
      </c>
      <c r="D879" s="1456">
        <v>13490</v>
      </c>
      <c r="E879" s="1896">
        <v>2000</v>
      </c>
      <c r="O879" s="1541">
        <f t="shared" ref="O879:R942" si="25">B879+I879</f>
        <v>0</v>
      </c>
      <c r="P879" s="1541">
        <f t="shared" si="25"/>
        <v>15490</v>
      </c>
      <c r="Q879" s="1541">
        <f t="shared" si="25"/>
        <v>13490</v>
      </c>
      <c r="R879" s="1541">
        <f t="shared" si="24"/>
        <v>2000</v>
      </c>
    </row>
    <row r="880" spans="1:18" x14ac:dyDescent="0.3">
      <c r="A880" s="1852" t="s">
        <v>3085</v>
      </c>
      <c r="B880" s="1462"/>
      <c r="C880" s="1456">
        <v>366</v>
      </c>
      <c r="D880" s="1456">
        <v>366</v>
      </c>
      <c r="E880" s="1462"/>
      <c r="O880" s="1541">
        <f t="shared" si="25"/>
        <v>0</v>
      </c>
      <c r="P880" s="1541">
        <f t="shared" si="25"/>
        <v>366</v>
      </c>
      <c r="Q880" s="1541">
        <f t="shared" si="25"/>
        <v>366</v>
      </c>
      <c r="R880" s="1541">
        <f t="shared" si="24"/>
        <v>0</v>
      </c>
    </row>
    <row r="881" spans="1:18" x14ac:dyDescent="0.3">
      <c r="A881" s="1852" t="s">
        <v>3086</v>
      </c>
      <c r="B881" s="1462"/>
      <c r="C881" s="1456">
        <v>6141</v>
      </c>
      <c r="D881" s="1456">
        <v>6141</v>
      </c>
      <c r="E881" s="1462"/>
      <c r="O881" s="1541">
        <f t="shared" si="25"/>
        <v>0</v>
      </c>
      <c r="P881" s="1541">
        <f t="shared" si="25"/>
        <v>6141</v>
      </c>
      <c r="Q881" s="1541">
        <f t="shared" si="25"/>
        <v>6141</v>
      </c>
      <c r="R881" s="1541">
        <f t="shared" si="24"/>
        <v>0</v>
      </c>
    </row>
    <row r="882" spans="1:18" x14ac:dyDescent="0.3">
      <c r="A882" s="1852" t="s">
        <v>3087</v>
      </c>
      <c r="B882" s="1462"/>
      <c r="C882" s="1456">
        <v>1550</v>
      </c>
      <c r="D882" s="1456">
        <v>1550</v>
      </c>
      <c r="E882" s="1462"/>
      <c r="O882" s="1541">
        <f t="shared" si="25"/>
        <v>0</v>
      </c>
      <c r="P882" s="1541">
        <f t="shared" si="25"/>
        <v>1550</v>
      </c>
      <c r="Q882" s="1541">
        <f t="shared" si="25"/>
        <v>1550</v>
      </c>
      <c r="R882" s="1541">
        <f t="shared" si="24"/>
        <v>0</v>
      </c>
    </row>
    <row r="883" spans="1:18" x14ac:dyDescent="0.3">
      <c r="A883" s="1852" t="s">
        <v>3088</v>
      </c>
      <c r="B883" s="1462"/>
      <c r="C883" s="1456">
        <v>181541.05</v>
      </c>
      <c r="D883" s="1456">
        <v>176197.05</v>
      </c>
      <c r="E883" s="1896">
        <v>5344</v>
      </c>
      <c r="O883" s="1541">
        <f t="shared" si="25"/>
        <v>0</v>
      </c>
      <c r="P883" s="1541">
        <f t="shared" si="25"/>
        <v>181541.05</v>
      </c>
      <c r="Q883" s="1541">
        <f t="shared" si="25"/>
        <v>176197.05</v>
      </c>
      <c r="R883" s="1541">
        <f t="shared" si="24"/>
        <v>5344</v>
      </c>
    </row>
    <row r="884" spans="1:18" x14ac:dyDescent="0.3">
      <c r="A884" s="1852" t="s">
        <v>3089</v>
      </c>
      <c r="B884" s="1462"/>
      <c r="C884" s="1456">
        <v>200</v>
      </c>
      <c r="D884" s="1456">
        <v>200</v>
      </c>
      <c r="E884" s="1462"/>
      <c r="O884" s="1541">
        <f t="shared" si="25"/>
        <v>0</v>
      </c>
      <c r="P884" s="1541">
        <f t="shared" si="25"/>
        <v>200</v>
      </c>
      <c r="Q884" s="1541">
        <f t="shared" si="25"/>
        <v>200</v>
      </c>
      <c r="R884" s="1541">
        <f t="shared" si="24"/>
        <v>0</v>
      </c>
    </row>
    <row r="885" spans="1:18" x14ac:dyDescent="0.3">
      <c r="A885" s="1852" t="s">
        <v>3090</v>
      </c>
      <c r="B885" s="1462"/>
      <c r="C885" s="1456">
        <v>1110</v>
      </c>
      <c r="D885" s="1456">
        <v>1110</v>
      </c>
      <c r="E885" s="1462"/>
      <c r="O885" s="1541">
        <f t="shared" si="25"/>
        <v>0</v>
      </c>
      <c r="P885" s="1541">
        <f t="shared" si="25"/>
        <v>1110</v>
      </c>
      <c r="Q885" s="1541">
        <f t="shared" si="25"/>
        <v>1110</v>
      </c>
      <c r="R885" s="1541">
        <f t="shared" si="24"/>
        <v>0</v>
      </c>
    </row>
    <row r="886" spans="1:18" x14ac:dyDescent="0.3">
      <c r="A886" s="1855" t="s">
        <v>3091</v>
      </c>
      <c r="B886" s="1462"/>
      <c r="C886" s="1456">
        <v>48400</v>
      </c>
      <c r="D886" s="1456">
        <v>48400</v>
      </c>
      <c r="E886" s="1462"/>
      <c r="O886" s="1541">
        <f t="shared" si="25"/>
        <v>0</v>
      </c>
      <c r="P886" s="1541">
        <f t="shared" si="25"/>
        <v>48400</v>
      </c>
      <c r="Q886" s="1541">
        <f t="shared" si="25"/>
        <v>48400</v>
      </c>
      <c r="R886" s="1541">
        <f t="shared" si="24"/>
        <v>0</v>
      </c>
    </row>
    <row r="887" spans="1:18" x14ac:dyDescent="0.3">
      <c r="A887" s="1852" t="s">
        <v>3092</v>
      </c>
      <c r="B887" s="1462"/>
      <c r="C887" s="1456">
        <v>17460</v>
      </c>
      <c r="D887" s="1456">
        <v>17380</v>
      </c>
      <c r="E887" s="1896">
        <v>80</v>
      </c>
      <c r="O887" s="1541">
        <f t="shared" si="25"/>
        <v>0</v>
      </c>
      <c r="P887" s="1541">
        <f t="shared" si="25"/>
        <v>17460</v>
      </c>
      <c r="Q887" s="1541">
        <f t="shared" si="25"/>
        <v>17380</v>
      </c>
      <c r="R887" s="1541">
        <f t="shared" si="24"/>
        <v>80</v>
      </c>
    </row>
    <row r="888" spans="1:18" x14ac:dyDescent="0.3">
      <c r="A888" s="1855" t="s">
        <v>3093</v>
      </c>
      <c r="B888" s="1462"/>
      <c r="C888" s="1456">
        <v>2800</v>
      </c>
      <c r="D888" s="1456">
        <v>2800</v>
      </c>
      <c r="E888" s="1462"/>
      <c r="O888" s="1541">
        <f t="shared" si="25"/>
        <v>0</v>
      </c>
      <c r="P888" s="1541">
        <f t="shared" si="25"/>
        <v>2800</v>
      </c>
      <c r="Q888" s="1541">
        <f t="shared" si="25"/>
        <v>2800</v>
      </c>
      <c r="R888" s="1541">
        <f t="shared" si="24"/>
        <v>0</v>
      </c>
    </row>
    <row r="889" spans="1:18" x14ac:dyDescent="0.3">
      <c r="A889" s="1852" t="s">
        <v>3094</v>
      </c>
      <c r="B889" s="1462"/>
      <c r="C889" s="1456">
        <v>53471</v>
      </c>
      <c r="D889" s="1456">
        <v>53471</v>
      </c>
      <c r="E889" s="1462"/>
      <c r="O889" s="1541">
        <f t="shared" si="25"/>
        <v>0</v>
      </c>
      <c r="P889" s="1541">
        <f t="shared" si="25"/>
        <v>53471</v>
      </c>
      <c r="Q889" s="1541">
        <f t="shared" si="25"/>
        <v>53471</v>
      </c>
      <c r="R889" s="1541">
        <f t="shared" si="24"/>
        <v>0</v>
      </c>
    </row>
    <row r="890" spans="1:18" x14ac:dyDescent="0.3">
      <c r="A890" s="1855" t="s">
        <v>3095</v>
      </c>
      <c r="B890" s="1462"/>
      <c r="C890" s="1456">
        <v>960</v>
      </c>
      <c r="D890" s="1456">
        <v>960</v>
      </c>
      <c r="E890" s="1462"/>
      <c r="O890" s="1541">
        <f t="shared" si="25"/>
        <v>0</v>
      </c>
      <c r="P890" s="1541">
        <f t="shared" si="25"/>
        <v>960</v>
      </c>
      <c r="Q890" s="1541">
        <f t="shared" si="25"/>
        <v>960</v>
      </c>
      <c r="R890" s="1541">
        <f t="shared" si="24"/>
        <v>0</v>
      </c>
    </row>
    <row r="891" spans="1:18" x14ac:dyDescent="0.3">
      <c r="A891" s="1852" t="s">
        <v>3096</v>
      </c>
      <c r="B891" s="1462"/>
      <c r="C891" s="1456">
        <v>540</v>
      </c>
      <c r="D891" s="1456">
        <v>540</v>
      </c>
      <c r="E891" s="1462"/>
      <c r="O891" s="1541">
        <f t="shared" si="25"/>
        <v>0</v>
      </c>
      <c r="P891" s="1541">
        <f t="shared" si="25"/>
        <v>540</v>
      </c>
      <c r="Q891" s="1541">
        <f t="shared" si="25"/>
        <v>540</v>
      </c>
      <c r="R891" s="1541">
        <f t="shared" si="24"/>
        <v>0</v>
      </c>
    </row>
    <row r="892" spans="1:18" x14ac:dyDescent="0.3">
      <c r="A892" s="1852" t="s">
        <v>3097</v>
      </c>
      <c r="B892" s="1462"/>
      <c r="C892" s="1456">
        <v>331</v>
      </c>
      <c r="D892" s="1456">
        <v>331</v>
      </c>
      <c r="E892" s="1462"/>
      <c r="O892" s="1541">
        <f t="shared" si="25"/>
        <v>0</v>
      </c>
      <c r="P892" s="1541">
        <f t="shared" si="25"/>
        <v>331</v>
      </c>
      <c r="Q892" s="1541">
        <f t="shared" si="25"/>
        <v>331</v>
      </c>
      <c r="R892" s="1541">
        <f t="shared" si="24"/>
        <v>0</v>
      </c>
    </row>
    <row r="893" spans="1:18" x14ac:dyDescent="0.3">
      <c r="A893" s="1852" t="s">
        <v>3098</v>
      </c>
      <c r="B893" s="1462"/>
      <c r="C893" s="1456">
        <v>280</v>
      </c>
      <c r="D893" s="1456">
        <v>280</v>
      </c>
      <c r="E893" s="1462"/>
      <c r="O893" s="1541">
        <f t="shared" si="25"/>
        <v>0</v>
      </c>
      <c r="P893" s="1541">
        <f t="shared" si="25"/>
        <v>280</v>
      </c>
      <c r="Q893" s="1541">
        <f t="shared" si="25"/>
        <v>280</v>
      </c>
      <c r="R893" s="1541">
        <f t="shared" si="24"/>
        <v>0</v>
      </c>
    </row>
    <row r="894" spans="1:18" x14ac:dyDescent="0.3">
      <c r="A894" s="1852" t="s">
        <v>3099</v>
      </c>
      <c r="B894" s="1462"/>
      <c r="C894" s="1456">
        <v>540</v>
      </c>
      <c r="D894" s="1456">
        <v>540</v>
      </c>
      <c r="E894" s="1462"/>
      <c r="O894" s="1541">
        <f t="shared" si="25"/>
        <v>0</v>
      </c>
      <c r="P894" s="1541">
        <f t="shared" si="25"/>
        <v>540</v>
      </c>
      <c r="Q894" s="1541">
        <f t="shared" si="25"/>
        <v>540</v>
      </c>
      <c r="R894" s="1541">
        <f t="shared" si="24"/>
        <v>0</v>
      </c>
    </row>
    <row r="895" spans="1:18" x14ac:dyDescent="0.3">
      <c r="A895" s="1852" t="s">
        <v>3100</v>
      </c>
      <c r="B895" s="1462"/>
      <c r="C895" s="1456">
        <v>506</v>
      </c>
      <c r="D895" s="1456">
        <v>506</v>
      </c>
      <c r="E895" s="1462"/>
      <c r="O895" s="1541">
        <f t="shared" si="25"/>
        <v>0</v>
      </c>
      <c r="P895" s="1541">
        <f t="shared" si="25"/>
        <v>506</v>
      </c>
      <c r="Q895" s="1541">
        <f t="shared" si="25"/>
        <v>506</v>
      </c>
      <c r="R895" s="1541">
        <f t="shared" si="24"/>
        <v>0</v>
      </c>
    </row>
    <row r="896" spans="1:18" x14ac:dyDescent="0.3">
      <c r="A896" s="1852" t="s">
        <v>3101</v>
      </c>
      <c r="B896" s="1462"/>
      <c r="C896" s="1456">
        <v>2132</v>
      </c>
      <c r="D896" s="1456">
        <v>2132</v>
      </c>
      <c r="E896" s="1462"/>
      <c r="O896" s="1541">
        <f t="shared" si="25"/>
        <v>0</v>
      </c>
      <c r="P896" s="1541">
        <f t="shared" si="25"/>
        <v>2132</v>
      </c>
      <c r="Q896" s="1541">
        <f t="shared" si="25"/>
        <v>2132</v>
      </c>
      <c r="R896" s="1541">
        <f t="shared" si="24"/>
        <v>0</v>
      </c>
    </row>
    <row r="897" spans="1:18" x14ac:dyDescent="0.3">
      <c r="A897" s="1852" t="s">
        <v>3102</v>
      </c>
      <c r="B897" s="1462"/>
      <c r="C897" s="1456">
        <v>3290</v>
      </c>
      <c r="D897" s="1456">
        <v>3290</v>
      </c>
      <c r="E897" s="1462"/>
      <c r="O897" s="1541">
        <f t="shared" si="25"/>
        <v>0</v>
      </c>
      <c r="P897" s="1541">
        <f t="shared" si="25"/>
        <v>3290</v>
      </c>
      <c r="Q897" s="1541">
        <f t="shared" si="25"/>
        <v>3290</v>
      </c>
      <c r="R897" s="1541">
        <f t="shared" si="24"/>
        <v>0</v>
      </c>
    </row>
    <row r="898" spans="1:18" x14ac:dyDescent="0.3">
      <c r="A898" s="1852" t="s">
        <v>3103</v>
      </c>
      <c r="B898" s="1462"/>
      <c r="C898" s="1456">
        <v>8769</v>
      </c>
      <c r="D898" s="1456">
        <v>8769</v>
      </c>
      <c r="E898" s="1462"/>
      <c r="O898" s="1541">
        <f t="shared" si="25"/>
        <v>0</v>
      </c>
      <c r="P898" s="1541">
        <f t="shared" si="25"/>
        <v>8769</v>
      </c>
      <c r="Q898" s="1541">
        <f t="shared" si="25"/>
        <v>8769</v>
      </c>
      <c r="R898" s="1541">
        <f t="shared" si="24"/>
        <v>0</v>
      </c>
    </row>
    <row r="899" spans="1:18" x14ac:dyDescent="0.3">
      <c r="A899" s="1852" t="s">
        <v>3104</v>
      </c>
      <c r="B899" s="1462"/>
      <c r="C899" s="1456">
        <v>792</v>
      </c>
      <c r="D899" s="1456">
        <v>792</v>
      </c>
      <c r="E899" s="1462"/>
      <c r="O899" s="1541">
        <f t="shared" si="25"/>
        <v>0</v>
      </c>
      <c r="P899" s="1541">
        <f t="shared" si="25"/>
        <v>792</v>
      </c>
      <c r="Q899" s="1541">
        <f t="shared" si="25"/>
        <v>792</v>
      </c>
      <c r="R899" s="1541">
        <f t="shared" si="24"/>
        <v>0</v>
      </c>
    </row>
    <row r="900" spans="1:18" x14ac:dyDescent="0.3">
      <c r="A900" s="1852" t="s">
        <v>3105</v>
      </c>
      <c r="B900" s="1462"/>
      <c r="C900" s="1456">
        <v>13140</v>
      </c>
      <c r="D900" s="1456">
        <v>13145</v>
      </c>
      <c r="E900" s="1471">
        <v>-5</v>
      </c>
      <c r="O900" s="1541">
        <f t="shared" si="25"/>
        <v>0</v>
      </c>
      <c r="P900" s="1541">
        <f t="shared" si="25"/>
        <v>13140</v>
      </c>
      <c r="Q900" s="1541">
        <f t="shared" si="25"/>
        <v>13145</v>
      </c>
      <c r="R900" s="1541">
        <f t="shared" si="24"/>
        <v>-5</v>
      </c>
    </row>
    <row r="901" spans="1:18" x14ac:dyDescent="0.3">
      <c r="A901" s="1852" t="s">
        <v>3106</v>
      </c>
      <c r="B901" s="1462"/>
      <c r="C901" s="1456">
        <v>1092</v>
      </c>
      <c r="D901" s="1456">
        <v>1092</v>
      </c>
      <c r="E901" s="1462"/>
      <c r="O901" s="1541">
        <f t="shared" si="25"/>
        <v>0</v>
      </c>
      <c r="P901" s="1541">
        <f t="shared" si="25"/>
        <v>1092</v>
      </c>
      <c r="Q901" s="1541">
        <f t="shared" si="25"/>
        <v>1092</v>
      </c>
      <c r="R901" s="1541">
        <f t="shared" si="24"/>
        <v>0</v>
      </c>
    </row>
    <row r="902" spans="1:18" x14ac:dyDescent="0.3">
      <c r="A902" s="1852" t="s">
        <v>3107</v>
      </c>
      <c r="B902" s="1462"/>
      <c r="C902" s="1456">
        <v>1768</v>
      </c>
      <c r="D902" s="1456">
        <v>1768</v>
      </c>
      <c r="E902" s="1462"/>
      <c r="O902" s="1541">
        <f t="shared" si="25"/>
        <v>0</v>
      </c>
      <c r="P902" s="1541">
        <f t="shared" si="25"/>
        <v>1768</v>
      </c>
      <c r="Q902" s="1541">
        <f t="shared" si="25"/>
        <v>1768</v>
      </c>
      <c r="R902" s="1541">
        <f t="shared" si="24"/>
        <v>0</v>
      </c>
    </row>
    <row r="903" spans="1:18" x14ac:dyDescent="0.3">
      <c r="A903" s="1852" t="s">
        <v>3108</v>
      </c>
      <c r="B903" s="1462"/>
      <c r="C903" s="1456">
        <v>280</v>
      </c>
      <c r="D903" s="1456">
        <v>280</v>
      </c>
      <c r="E903" s="1462"/>
      <c r="O903" s="1541">
        <f t="shared" si="25"/>
        <v>0</v>
      </c>
      <c r="P903" s="1541">
        <f t="shared" si="25"/>
        <v>280</v>
      </c>
      <c r="Q903" s="1541">
        <f t="shared" si="25"/>
        <v>280</v>
      </c>
      <c r="R903" s="1541">
        <f t="shared" si="24"/>
        <v>0</v>
      </c>
    </row>
    <row r="904" spans="1:18" x14ac:dyDescent="0.3">
      <c r="A904" s="1852" t="s">
        <v>3109</v>
      </c>
      <c r="B904" s="1462"/>
      <c r="C904" s="1456">
        <v>2100</v>
      </c>
      <c r="D904" s="1456">
        <v>2100</v>
      </c>
      <c r="E904" s="1462"/>
      <c r="O904" s="1541">
        <f t="shared" si="25"/>
        <v>0</v>
      </c>
      <c r="P904" s="1541">
        <f t="shared" si="25"/>
        <v>2100</v>
      </c>
      <c r="Q904" s="1541">
        <f t="shared" si="25"/>
        <v>2100</v>
      </c>
      <c r="R904" s="1541">
        <f t="shared" si="24"/>
        <v>0</v>
      </c>
    </row>
    <row r="905" spans="1:18" x14ac:dyDescent="0.3">
      <c r="A905" s="1855" t="s">
        <v>3110</v>
      </c>
      <c r="B905" s="1462"/>
      <c r="C905" s="1456">
        <v>20350</v>
      </c>
      <c r="D905" s="1456">
        <v>20350</v>
      </c>
      <c r="E905" s="1462"/>
      <c r="O905" s="1541">
        <f t="shared" si="25"/>
        <v>0</v>
      </c>
      <c r="P905" s="1541">
        <f t="shared" si="25"/>
        <v>20350</v>
      </c>
      <c r="Q905" s="1541">
        <f t="shared" si="25"/>
        <v>20350</v>
      </c>
      <c r="R905" s="1541">
        <f t="shared" si="24"/>
        <v>0</v>
      </c>
    </row>
    <row r="906" spans="1:18" x14ac:dyDescent="0.3">
      <c r="A906" s="1852" t="s">
        <v>3111</v>
      </c>
      <c r="B906" s="1462"/>
      <c r="C906" s="1456">
        <v>2006</v>
      </c>
      <c r="D906" s="1456">
        <v>2006</v>
      </c>
      <c r="E906" s="1462"/>
      <c r="O906" s="1541">
        <f t="shared" si="25"/>
        <v>0</v>
      </c>
      <c r="P906" s="1541">
        <f t="shared" si="25"/>
        <v>2006</v>
      </c>
      <c r="Q906" s="1541">
        <f t="shared" si="25"/>
        <v>2006</v>
      </c>
      <c r="R906" s="1541">
        <f t="shared" si="24"/>
        <v>0</v>
      </c>
    </row>
    <row r="907" spans="1:18" x14ac:dyDescent="0.3">
      <c r="A907" s="1852" t="s">
        <v>3112</v>
      </c>
      <c r="B907" s="1462"/>
      <c r="C907" s="1456">
        <v>1440</v>
      </c>
      <c r="D907" s="1456">
        <v>1440</v>
      </c>
      <c r="E907" s="1462"/>
      <c r="O907" s="1541">
        <f t="shared" si="25"/>
        <v>0</v>
      </c>
      <c r="P907" s="1541">
        <f t="shared" si="25"/>
        <v>1440</v>
      </c>
      <c r="Q907" s="1541">
        <f t="shared" si="25"/>
        <v>1440</v>
      </c>
      <c r="R907" s="1541">
        <f t="shared" si="24"/>
        <v>0</v>
      </c>
    </row>
    <row r="908" spans="1:18" x14ac:dyDescent="0.3">
      <c r="A908" s="1852" t="s">
        <v>3113</v>
      </c>
      <c r="B908" s="1462"/>
      <c r="C908" s="1456">
        <v>6060</v>
      </c>
      <c r="D908" s="1456">
        <v>6060</v>
      </c>
      <c r="E908" s="1462"/>
      <c r="O908" s="1541">
        <f t="shared" si="25"/>
        <v>0</v>
      </c>
      <c r="P908" s="1541">
        <f t="shared" si="25"/>
        <v>6060</v>
      </c>
      <c r="Q908" s="1541">
        <f t="shared" si="25"/>
        <v>6060</v>
      </c>
      <c r="R908" s="1541">
        <f t="shared" si="24"/>
        <v>0</v>
      </c>
    </row>
    <row r="909" spans="1:18" x14ac:dyDescent="0.3">
      <c r="A909" s="1852" t="s">
        <v>3114</v>
      </c>
      <c r="B909" s="1462"/>
      <c r="C909" s="1456">
        <v>3558</v>
      </c>
      <c r="D909" s="1456">
        <v>3558</v>
      </c>
      <c r="E909" s="1462"/>
      <c r="O909" s="1541">
        <f t="shared" si="25"/>
        <v>0</v>
      </c>
      <c r="P909" s="1541">
        <f t="shared" si="25"/>
        <v>3558</v>
      </c>
      <c r="Q909" s="1541">
        <f t="shared" si="25"/>
        <v>3558</v>
      </c>
      <c r="R909" s="1541">
        <f t="shared" si="24"/>
        <v>0</v>
      </c>
    </row>
    <row r="910" spans="1:18" x14ac:dyDescent="0.3">
      <c r="A910" s="1852" t="s">
        <v>3115</v>
      </c>
      <c r="B910" s="1462"/>
      <c r="C910" s="1456">
        <v>140</v>
      </c>
      <c r="D910" s="1456">
        <v>140</v>
      </c>
      <c r="E910" s="1462"/>
      <c r="O910" s="1541">
        <f t="shared" si="25"/>
        <v>0</v>
      </c>
      <c r="P910" s="1541">
        <f t="shared" si="25"/>
        <v>140</v>
      </c>
      <c r="Q910" s="1541">
        <f t="shared" si="25"/>
        <v>140</v>
      </c>
      <c r="R910" s="1541">
        <f t="shared" si="24"/>
        <v>0</v>
      </c>
    </row>
    <row r="911" spans="1:18" x14ac:dyDescent="0.3">
      <c r="A911" s="1852" t="s">
        <v>3116</v>
      </c>
      <c r="B911" s="1462"/>
      <c r="C911" s="1456">
        <v>560</v>
      </c>
      <c r="D911" s="1456">
        <v>560</v>
      </c>
      <c r="E911" s="1462"/>
      <c r="O911" s="1541">
        <f t="shared" si="25"/>
        <v>0</v>
      </c>
      <c r="P911" s="1541">
        <f t="shared" si="25"/>
        <v>560</v>
      </c>
      <c r="Q911" s="1541">
        <f t="shared" si="25"/>
        <v>560</v>
      </c>
      <c r="R911" s="1541">
        <f t="shared" si="24"/>
        <v>0</v>
      </c>
    </row>
    <row r="912" spans="1:18" x14ac:dyDescent="0.3">
      <c r="A912" s="1852" t="s">
        <v>3117</v>
      </c>
      <c r="B912" s="1462"/>
      <c r="C912" s="1456">
        <v>35210</v>
      </c>
      <c r="D912" s="1456">
        <v>35210</v>
      </c>
      <c r="E912" s="1462"/>
      <c r="O912" s="1541">
        <f t="shared" si="25"/>
        <v>0</v>
      </c>
      <c r="P912" s="1541">
        <f t="shared" si="25"/>
        <v>35210</v>
      </c>
      <c r="Q912" s="1541">
        <f t="shared" si="25"/>
        <v>35210</v>
      </c>
      <c r="R912" s="1541">
        <f t="shared" si="24"/>
        <v>0</v>
      </c>
    </row>
    <row r="913" spans="1:18" x14ac:dyDescent="0.3">
      <c r="A913" s="1852" t="s">
        <v>3118</v>
      </c>
      <c r="B913" s="1462"/>
      <c r="C913" s="1456">
        <v>2190</v>
      </c>
      <c r="D913" s="1456">
        <v>2190</v>
      </c>
      <c r="E913" s="1462"/>
      <c r="O913" s="1541">
        <f t="shared" si="25"/>
        <v>0</v>
      </c>
      <c r="P913" s="1541">
        <f t="shared" si="25"/>
        <v>2190</v>
      </c>
      <c r="Q913" s="1541">
        <f t="shared" si="25"/>
        <v>2190</v>
      </c>
      <c r="R913" s="1541">
        <f t="shared" si="24"/>
        <v>0</v>
      </c>
    </row>
    <row r="914" spans="1:18" x14ac:dyDescent="0.3">
      <c r="A914" s="1852" t="s">
        <v>3119</v>
      </c>
      <c r="B914" s="1462"/>
      <c r="C914" s="1456">
        <v>786</v>
      </c>
      <c r="D914" s="1456">
        <v>786</v>
      </c>
      <c r="E914" s="1462"/>
      <c r="O914" s="1541">
        <f t="shared" si="25"/>
        <v>0</v>
      </c>
      <c r="P914" s="1541">
        <f t="shared" si="25"/>
        <v>786</v>
      </c>
      <c r="Q914" s="1541">
        <f t="shared" si="25"/>
        <v>786</v>
      </c>
      <c r="R914" s="1541">
        <f t="shared" si="24"/>
        <v>0</v>
      </c>
    </row>
    <row r="915" spans="1:18" x14ac:dyDescent="0.3">
      <c r="A915" s="1852" t="s">
        <v>3120</v>
      </c>
      <c r="B915" s="1462"/>
      <c r="C915" s="1456">
        <v>15428</v>
      </c>
      <c r="D915" s="1456">
        <v>15428</v>
      </c>
      <c r="E915" s="1462"/>
      <c r="O915" s="1541">
        <f t="shared" si="25"/>
        <v>0</v>
      </c>
      <c r="P915" s="1541">
        <f t="shared" si="25"/>
        <v>15428</v>
      </c>
      <c r="Q915" s="1541">
        <f t="shared" si="25"/>
        <v>15428</v>
      </c>
      <c r="R915" s="1541">
        <f t="shared" si="24"/>
        <v>0</v>
      </c>
    </row>
    <row r="916" spans="1:18" x14ac:dyDescent="0.3">
      <c r="A916" s="1852" t="s">
        <v>3121</v>
      </c>
      <c r="B916" s="1462"/>
      <c r="C916" s="1456">
        <v>446</v>
      </c>
      <c r="D916" s="1456">
        <v>446</v>
      </c>
      <c r="E916" s="1462"/>
      <c r="O916" s="1541">
        <f t="shared" si="25"/>
        <v>0</v>
      </c>
      <c r="P916" s="1541">
        <f t="shared" si="25"/>
        <v>446</v>
      </c>
      <c r="Q916" s="1541">
        <f t="shared" si="25"/>
        <v>446</v>
      </c>
      <c r="R916" s="1541">
        <f t="shared" si="24"/>
        <v>0</v>
      </c>
    </row>
    <row r="917" spans="1:18" x14ac:dyDescent="0.3">
      <c r="A917" s="1852" t="s">
        <v>3122</v>
      </c>
      <c r="B917" s="1462"/>
      <c r="C917" s="1456">
        <v>3325</v>
      </c>
      <c r="D917" s="1456">
        <v>3325</v>
      </c>
      <c r="E917" s="1462"/>
      <c r="O917" s="1541">
        <f t="shared" si="25"/>
        <v>0</v>
      </c>
      <c r="P917" s="1541">
        <f t="shared" si="25"/>
        <v>3325</v>
      </c>
      <c r="Q917" s="1541">
        <f t="shared" si="25"/>
        <v>3325</v>
      </c>
      <c r="R917" s="1541">
        <f t="shared" si="24"/>
        <v>0</v>
      </c>
    </row>
    <row r="918" spans="1:18" x14ac:dyDescent="0.3">
      <c r="A918" s="1855" t="s">
        <v>3123</v>
      </c>
      <c r="B918" s="1462"/>
      <c r="C918" s="1456">
        <v>1768</v>
      </c>
      <c r="D918" s="1456">
        <v>1768</v>
      </c>
      <c r="E918" s="1462"/>
      <c r="O918" s="1541">
        <f t="shared" si="25"/>
        <v>0</v>
      </c>
      <c r="P918" s="1541">
        <f t="shared" si="25"/>
        <v>1768</v>
      </c>
      <c r="Q918" s="1541">
        <f t="shared" si="25"/>
        <v>1768</v>
      </c>
      <c r="R918" s="1541">
        <f t="shared" si="24"/>
        <v>0</v>
      </c>
    </row>
    <row r="919" spans="1:18" x14ac:dyDescent="0.3">
      <c r="A919" s="1855" t="s">
        <v>3124</v>
      </c>
      <c r="B919" s="1462"/>
      <c r="C919" s="1456">
        <v>1472</v>
      </c>
      <c r="D919" s="1456">
        <v>1472</v>
      </c>
      <c r="E919" s="1462"/>
      <c r="O919" s="1541">
        <f t="shared" si="25"/>
        <v>0</v>
      </c>
      <c r="P919" s="1541">
        <f t="shared" si="25"/>
        <v>1472</v>
      </c>
      <c r="Q919" s="1541">
        <f t="shared" si="25"/>
        <v>1472</v>
      </c>
      <c r="R919" s="1541">
        <f t="shared" si="24"/>
        <v>0</v>
      </c>
    </row>
    <row r="920" spans="1:18" x14ac:dyDescent="0.3">
      <c r="A920" s="1852" t="s">
        <v>3125</v>
      </c>
      <c r="B920" s="1462"/>
      <c r="C920" s="1456">
        <v>332</v>
      </c>
      <c r="D920" s="1456">
        <v>332</v>
      </c>
      <c r="E920" s="1462"/>
      <c r="O920" s="1541">
        <f t="shared" si="25"/>
        <v>0</v>
      </c>
      <c r="P920" s="1541">
        <f t="shared" si="25"/>
        <v>332</v>
      </c>
      <c r="Q920" s="1541">
        <f t="shared" si="25"/>
        <v>332</v>
      </c>
      <c r="R920" s="1541">
        <f t="shared" si="24"/>
        <v>0</v>
      </c>
    </row>
    <row r="921" spans="1:18" x14ac:dyDescent="0.3">
      <c r="A921" s="1855" t="s">
        <v>3126</v>
      </c>
      <c r="B921" s="1462"/>
      <c r="C921" s="1456">
        <v>560</v>
      </c>
      <c r="D921" s="1456">
        <v>560</v>
      </c>
      <c r="E921" s="1462"/>
      <c r="O921" s="1541">
        <f t="shared" si="25"/>
        <v>0</v>
      </c>
      <c r="P921" s="1541">
        <f t="shared" si="25"/>
        <v>560</v>
      </c>
      <c r="Q921" s="1541">
        <f t="shared" si="25"/>
        <v>560</v>
      </c>
      <c r="R921" s="1541">
        <f t="shared" si="24"/>
        <v>0</v>
      </c>
    </row>
    <row r="922" spans="1:18" x14ac:dyDescent="0.3">
      <c r="A922" s="1855" t="s">
        <v>3127</v>
      </c>
      <c r="B922" s="1462"/>
      <c r="C922" s="1456">
        <v>10114</v>
      </c>
      <c r="D922" s="1456">
        <v>10114</v>
      </c>
      <c r="E922" s="1462"/>
      <c r="O922" s="1541">
        <f t="shared" si="25"/>
        <v>0</v>
      </c>
      <c r="P922" s="1541">
        <f t="shared" si="25"/>
        <v>10114</v>
      </c>
      <c r="Q922" s="1541">
        <f t="shared" si="25"/>
        <v>10114</v>
      </c>
      <c r="R922" s="1541">
        <f t="shared" si="24"/>
        <v>0</v>
      </c>
    </row>
    <row r="923" spans="1:18" x14ac:dyDescent="0.3">
      <c r="A923" s="1855" t="s">
        <v>3128</v>
      </c>
      <c r="B923" s="1462"/>
      <c r="C923" s="1456">
        <v>1562</v>
      </c>
      <c r="D923" s="1456">
        <v>1562</v>
      </c>
      <c r="E923" s="1462"/>
      <c r="O923" s="1541">
        <f t="shared" si="25"/>
        <v>0</v>
      </c>
      <c r="P923" s="1541">
        <f t="shared" si="25"/>
        <v>1562</v>
      </c>
      <c r="Q923" s="1541">
        <f t="shared" si="25"/>
        <v>1562</v>
      </c>
      <c r="R923" s="1541">
        <f t="shared" si="24"/>
        <v>0</v>
      </c>
    </row>
    <row r="924" spans="1:18" x14ac:dyDescent="0.3">
      <c r="A924" s="1852" t="s">
        <v>3129</v>
      </c>
      <c r="B924" s="1462"/>
      <c r="C924" s="1456">
        <v>357</v>
      </c>
      <c r="D924" s="1456">
        <v>357</v>
      </c>
      <c r="E924" s="1462"/>
      <c r="O924" s="1541">
        <f t="shared" si="25"/>
        <v>0</v>
      </c>
      <c r="P924" s="1541">
        <f t="shared" si="25"/>
        <v>357</v>
      </c>
      <c r="Q924" s="1541">
        <f t="shared" si="25"/>
        <v>357</v>
      </c>
      <c r="R924" s="1541">
        <f t="shared" si="24"/>
        <v>0</v>
      </c>
    </row>
    <row r="925" spans="1:18" x14ac:dyDescent="0.3">
      <c r="A925" s="1855" t="s">
        <v>3130</v>
      </c>
      <c r="B925" s="1462"/>
      <c r="C925" s="1456">
        <v>70615</v>
      </c>
      <c r="D925" s="1456">
        <v>70615</v>
      </c>
      <c r="E925" s="1462"/>
      <c r="O925" s="1541">
        <f t="shared" si="25"/>
        <v>0</v>
      </c>
      <c r="P925" s="1541">
        <f t="shared" si="25"/>
        <v>70615</v>
      </c>
      <c r="Q925" s="1541">
        <f t="shared" si="25"/>
        <v>70615</v>
      </c>
      <c r="R925" s="1541">
        <f t="shared" si="24"/>
        <v>0</v>
      </c>
    </row>
    <row r="926" spans="1:18" x14ac:dyDescent="0.3">
      <c r="A926" s="1852" t="s">
        <v>3131</v>
      </c>
      <c r="B926" s="1462"/>
      <c r="C926" s="1456">
        <v>66276</v>
      </c>
      <c r="D926" s="1456">
        <v>66276</v>
      </c>
      <c r="E926" s="1462"/>
      <c r="O926" s="1541">
        <f t="shared" si="25"/>
        <v>0</v>
      </c>
      <c r="P926" s="1541">
        <f t="shared" si="25"/>
        <v>66276</v>
      </c>
      <c r="Q926" s="1541">
        <f t="shared" si="25"/>
        <v>66276</v>
      </c>
      <c r="R926" s="1541">
        <f t="shared" si="24"/>
        <v>0</v>
      </c>
    </row>
    <row r="927" spans="1:18" x14ac:dyDescent="0.3">
      <c r="A927" s="1855" t="s">
        <v>3132</v>
      </c>
      <c r="B927" s="1462"/>
      <c r="C927" s="1456">
        <v>875</v>
      </c>
      <c r="D927" s="1456">
        <v>875</v>
      </c>
      <c r="E927" s="1462"/>
      <c r="O927" s="1541">
        <f t="shared" si="25"/>
        <v>0</v>
      </c>
      <c r="P927" s="1541">
        <f t="shared" si="25"/>
        <v>875</v>
      </c>
      <c r="Q927" s="1541">
        <f t="shared" si="25"/>
        <v>875</v>
      </c>
      <c r="R927" s="1541">
        <f t="shared" si="24"/>
        <v>0</v>
      </c>
    </row>
    <row r="928" spans="1:18" x14ac:dyDescent="0.3">
      <c r="A928" s="1852" t="s">
        <v>3133</v>
      </c>
      <c r="B928" s="1462"/>
      <c r="C928" s="1456">
        <v>1106</v>
      </c>
      <c r="D928" s="1456">
        <v>1106</v>
      </c>
      <c r="E928" s="1462"/>
      <c r="O928" s="1541">
        <f t="shared" si="25"/>
        <v>0</v>
      </c>
      <c r="P928" s="1541">
        <f t="shared" si="25"/>
        <v>1106</v>
      </c>
      <c r="Q928" s="1541">
        <f t="shared" si="25"/>
        <v>1106</v>
      </c>
      <c r="R928" s="1541">
        <f t="shared" si="24"/>
        <v>0</v>
      </c>
    </row>
    <row r="929" spans="1:18" x14ac:dyDescent="0.3">
      <c r="A929" s="1855" t="s">
        <v>3134</v>
      </c>
      <c r="B929" s="1462"/>
      <c r="C929" s="1456">
        <v>200</v>
      </c>
      <c r="D929" s="1456">
        <v>200</v>
      </c>
      <c r="E929" s="1462"/>
      <c r="O929" s="1541">
        <f t="shared" si="25"/>
        <v>0</v>
      </c>
      <c r="P929" s="1541">
        <f t="shared" si="25"/>
        <v>200</v>
      </c>
      <c r="Q929" s="1541">
        <f t="shared" si="25"/>
        <v>200</v>
      </c>
      <c r="R929" s="1541">
        <f t="shared" si="24"/>
        <v>0</v>
      </c>
    </row>
    <row r="930" spans="1:18" x14ac:dyDescent="0.3">
      <c r="A930" s="1852" t="s">
        <v>3135</v>
      </c>
      <c r="B930" s="1462"/>
      <c r="C930" s="1456">
        <v>1832</v>
      </c>
      <c r="D930" s="1456">
        <v>1832</v>
      </c>
      <c r="E930" s="1462"/>
      <c r="O930" s="1541">
        <f t="shared" si="25"/>
        <v>0</v>
      </c>
      <c r="P930" s="1541">
        <f t="shared" si="25"/>
        <v>1832</v>
      </c>
      <c r="Q930" s="1541">
        <f t="shared" si="25"/>
        <v>1832</v>
      </c>
      <c r="R930" s="1541">
        <f t="shared" si="24"/>
        <v>0</v>
      </c>
    </row>
    <row r="931" spans="1:18" x14ac:dyDescent="0.3">
      <c r="A931" s="1855" t="s">
        <v>3136</v>
      </c>
      <c r="B931" s="1462"/>
      <c r="C931" s="1456">
        <v>1740</v>
      </c>
      <c r="D931" s="1456">
        <v>1740</v>
      </c>
      <c r="E931" s="1462"/>
      <c r="O931" s="1541">
        <f t="shared" si="25"/>
        <v>0</v>
      </c>
      <c r="P931" s="1541">
        <f t="shared" si="25"/>
        <v>1740</v>
      </c>
      <c r="Q931" s="1541">
        <f t="shared" si="25"/>
        <v>1740</v>
      </c>
      <c r="R931" s="1541">
        <f t="shared" si="24"/>
        <v>0</v>
      </c>
    </row>
    <row r="932" spans="1:18" x14ac:dyDescent="0.3">
      <c r="A932" s="1852" t="s">
        <v>3137</v>
      </c>
      <c r="B932" s="1462"/>
      <c r="C932" s="1456">
        <v>1650</v>
      </c>
      <c r="D932" s="1456">
        <v>1650</v>
      </c>
      <c r="E932" s="1462"/>
      <c r="O932" s="1541">
        <f t="shared" si="25"/>
        <v>0</v>
      </c>
      <c r="P932" s="1541">
        <f t="shared" si="25"/>
        <v>1650</v>
      </c>
      <c r="Q932" s="1541">
        <f t="shared" si="25"/>
        <v>1650</v>
      </c>
      <c r="R932" s="1541">
        <f t="shared" si="24"/>
        <v>0</v>
      </c>
    </row>
    <row r="933" spans="1:18" x14ac:dyDescent="0.3">
      <c r="A933" s="1855" t="s">
        <v>3138</v>
      </c>
      <c r="B933" s="1462"/>
      <c r="C933" s="1456">
        <v>540</v>
      </c>
      <c r="D933" s="1456">
        <v>540</v>
      </c>
      <c r="E933" s="1462"/>
      <c r="O933" s="1541">
        <f t="shared" si="25"/>
        <v>0</v>
      </c>
      <c r="P933" s="1541">
        <f t="shared" si="25"/>
        <v>540</v>
      </c>
      <c r="Q933" s="1541">
        <f t="shared" si="25"/>
        <v>540</v>
      </c>
      <c r="R933" s="1541">
        <f t="shared" si="24"/>
        <v>0</v>
      </c>
    </row>
    <row r="934" spans="1:18" x14ac:dyDescent="0.3">
      <c r="A934" s="1855" t="s">
        <v>3139</v>
      </c>
      <c r="B934" s="1462"/>
      <c r="C934" s="1456">
        <v>15593</v>
      </c>
      <c r="D934" s="1456">
        <v>15593</v>
      </c>
      <c r="E934" s="1462"/>
      <c r="O934" s="1541">
        <f t="shared" si="25"/>
        <v>0</v>
      </c>
      <c r="P934" s="1541">
        <f t="shared" si="25"/>
        <v>15593</v>
      </c>
      <c r="Q934" s="1541">
        <f t="shared" si="25"/>
        <v>15593</v>
      </c>
      <c r="R934" s="1541">
        <f t="shared" si="24"/>
        <v>0</v>
      </c>
    </row>
    <row r="935" spans="1:18" x14ac:dyDescent="0.3">
      <c r="A935" s="1852" t="s">
        <v>3140</v>
      </c>
      <c r="B935" s="1462"/>
      <c r="C935" s="1456">
        <v>1193</v>
      </c>
      <c r="D935" s="1456">
        <v>1193</v>
      </c>
      <c r="E935" s="1462"/>
      <c r="O935" s="1541">
        <f t="shared" si="25"/>
        <v>0</v>
      </c>
      <c r="P935" s="1541">
        <f t="shared" si="25"/>
        <v>1193</v>
      </c>
      <c r="Q935" s="1541">
        <f t="shared" si="25"/>
        <v>1193</v>
      </c>
      <c r="R935" s="1541">
        <f t="shared" si="24"/>
        <v>0</v>
      </c>
    </row>
    <row r="936" spans="1:18" x14ac:dyDescent="0.3">
      <c r="A936" s="1852" t="s">
        <v>3141</v>
      </c>
      <c r="B936" s="1462"/>
      <c r="C936" s="1456">
        <v>1706</v>
      </c>
      <c r="D936" s="1456">
        <v>1706</v>
      </c>
      <c r="E936" s="1462"/>
      <c r="O936" s="1541">
        <f t="shared" si="25"/>
        <v>0</v>
      </c>
      <c r="P936" s="1541">
        <f t="shared" si="25"/>
        <v>1706</v>
      </c>
      <c r="Q936" s="1541">
        <f t="shared" si="25"/>
        <v>1706</v>
      </c>
      <c r="R936" s="1541">
        <f t="shared" si="24"/>
        <v>0</v>
      </c>
    </row>
    <row r="937" spans="1:18" x14ac:dyDescent="0.3">
      <c r="A937" s="1852" t="s">
        <v>3142</v>
      </c>
      <c r="B937" s="1462"/>
      <c r="C937" s="1456">
        <v>840</v>
      </c>
      <c r="D937" s="1456">
        <v>840</v>
      </c>
      <c r="E937" s="1462"/>
      <c r="O937" s="1541">
        <f t="shared" si="25"/>
        <v>0</v>
      </c>
      <c r="P937" s="1541">
        <f t="shared" si="25"/>
        <v>840</v>
      </c>
      <c r="Q937" s="1541">
        <f t="shared" si="25"/>
        <v>840</v>
      </c>
      <c r="R937" s="1541">
        <f t="shared" si="24"/>
        <v>0</v>
      </c>
    </row>
    <row r="938" spans="1:18" x14ac:dyDescent="0.3">
      <c r="A938" s="1852" t="s">
        <v>3143</v>
      </c>
      <c r="B938" s="1462"/>
      <c r="C938" s="1456">
        <v>4802</v>
      </c>
      <c r="D938" s="1456">
        <v>4802</v>
      </c>
      <c r="E938" s="1462"/>
      <c r="O938" s="1541">
        <f t="shared" si="25"/>
        <v>0</v>
      </c>
      <c r="P938" s="1541">
        <f t="shared" si="25"/>
        <v>4802</v>
      </c>
      <c r="Q938" s="1541">
        <f t="shared" si="25"/>
        <v>4802</v>
      </c>
      <c r="R938" s="1541">
        <f t="shared" si="24"/>
        <v>0</v>
      </c>
    </row>
    <row r="939" spans="1:18" x14ac:dyDescent="0.3">
      <c r="A939" s="1852" t="s">
        <v>3144</v>
      </c>
      <c r="B939" s="1462"/>
      <c r="C939" s="1456">
        <v>980</v>
      </c>
      <c r="D939" s="1456">
        <v>980</v>
      </c>
      <c r="E939" s="1462"/>
      <c r="O939" s="1541">
        <f t="shared" si="25"/>
        <v>0</v>
      </c>
      <c r="P939" s="1541">
        <f t="shared" si="25"/>
        <v>980</v>
      </c>
      <c r="Q939" s="1541">
        <f t="shared" si="25"/>
        <v>980</v>
      </c>
      <c r="R939" s="1541">
        <f t="shared" si="24"/>
        <v>0</v>
      </c>
    </row>
    <row r="940" spans="1:18" x14ac:dyDescent="0.3">
      <c r="A940" s="1852" t="s">
        <v>3145</v>
      </c>
      <c r="B940" s="1462"/>
      <c r="C940" s="1456">
        <v>1700</v>
      </c>
      <c r="D940" s="1456">
        <v>1700</v>
      </c>
      <c r="E940" s="1462"/>
      <c r="O940" s="1541">
        <f t="shared" si="25"/>
        <v>0</v>
      </c>
      <c r="P940" s="1541">
        <f t="shared" si="25"/>
        <v>1700</v>
      </c>
      <c r="Q940" s="1541">
        <f t="shared" si="25"/>
        <v>1700</v>
      </c>
      <c r="R940" s="1541">
        <f t="shared" si="24"/>
        <v>0</v>
      </c>
    </row>
    <row r="941" spans="1:18" x14ac:dyDescent="0.3">
      <c r="A941" s="1852" t="s">
        <v>3146</v>
      </c>
      <c r="B941" s="1462"/>
      <c r="C941" s="1456">
        <v>498</v>
      </c>
      <c r="D941" s="1456">
        <v>498</v>
      </c>
      <c r="E941" s="1462"/>
      <c r="O941" s="1541">
        <f t="shared" si="25"/>
        <v>0</v>
      </c>
      <c r="P941" s="1541">
        <f t="shared" si="25"/>
        <v>498</v>
      </c>
      <c r="Q941" s="1541">
        <f t="shared" si="25"/>
        <v>498</v>
      </c>
      <c r="R941" s="1541">
        <f t="shared" si="24"/>
        <v>0</v>
      </c>
    </row>
    <row r="942" spans="1:18" x14ac:dyDescent="0.3">
      <c r="A942" s="1855" t="s">
        <v>3147</v>
      </c>
      <c r="B942" s="1462"/>
      <c r="C942" s="1456">
        <v>2678</v>
      </c>
      <c r="D942" s="1456">
        <v>2678</v>
      </c>
      <c r="E942" s="1462"/>
      <c r="O942" s="1541">
        <f t="shared" si="25"/>
        <v>0</v>
      </c>
      <c r="P942" s="1541">
        <f t="shared" si="25"/>
        <v>2678</v>
      </c>
      <c r="Q942" s="1541">
        <f t="shared" si="25"/>
        <v>2678</v>
      </c>
      <c r="R942" s="1541">
        <f t="shared" si="25"/>
        <v>0</v>
      </c>
    </row>
    <row r="943" spans="1:18" x14ac:dyDescent="0.3">
      <c r="A943" s="1855" t="s">
        <v>3148</v>
      </c>
      <c r="B943" s="1462"/>
      <c r="C943" s="1456">
        <v>280</v>
      </c>
      <c r="D943" s="1456">
        <v>280</v>
      </c>
      <c r="E943" s="1462"/>
      <c r="O943" s="1541">
        <f t="shared" ref="O943:R1006" si="26">B943+I943</f>
        <v>0</v>
      </c>
      <c r="P943" s="1541">
        <f t="shared" si="26"/>
        <v>280</v>
      </c>
      <c r="Q943" s="1541">
        <f t="shared" si="26"/>
        <v>280</v>
      </c>
      <c r="R943" s="1541">
        <f t="shared" si="26"/>
        <v>0</v>
      </c>
    </row>
    <row r="944" spans="1:18" x14ac:dyDescent="0.3">
      <c r="A944" s="1852" t="s">
        <v>3149</v>
      </c>
      <c r="B944" s="1462"/>
      <c r="C944" s="1456">
        <v>306</v>
      </c>
      <c r="D944" s="1456">
        <v>306</v>
      </c>
      <c r="E944" s="1462"/>
      <c r="O944" s="1541">
        <f t="shared" si="26"/>
        <v>0</v>
      </c>
      <c r="P944" s="1541">
        <f t="shared" si="26"/>
        <v>306</v>
      </c>
      <c r="Q944" s="1541">
        <f t="shared" si="26"/>
        <v>306</v>
      </c>
      <c r="R944" s="1541">
        <f t="shared" si="26"/>
        <v>0</v>
      </c>
    </row>
    <row r="945" spans="1:18" x14ac:dyDescent="0.3">
      <c r="A945" s="1852" t="s">
        <v>3150</v>
      </c>
      <c r="B945" s="1462"/>
      <c r="C945" s="1456">
        <v>700</v>
      </c>
      <c r="D945" s="1456">
        <v>700</v>
      </c>
      <c r="E945" s="1462"/>
      <c r="O945" s="1541">
        <f t="shared" si="26"/>
        <v>0</v>
      </c>
      <c r="P945" s="1541">
        <f t="shared" si="26"/>
        <v>700</v>
      </c>
      <c r="Q945" s="1541">
        <f t="shared" si="26"/>
        <v>700</v>
      </c>
      <c r="R945" s="1541">
        <f t="shared" si="26"/>
        <v>0</v>
      </c>
    </row>
    <row r="946" spans="1:18" x14ac:dyDescent="0.3">
      <c r="A946" s="1855" t="s">
        <v>3151</v>
      </c>
      <c r="B946" s="1462"/>
      <c r="C946" s="1456">
        <v>810920</v>
      </c>
      <c r="D946" s="1456">
        <v>824805</v>
      </c>
      <c r="E946" s="1471">
        <v>-13885</v>
      </c>
      <c r="O946" s="1541">
        <f t="shared" si="26"/>
        <v>0</v>
      </c>
      <c r="P946" s="1541">
        <f t="shared" si="26"/>
        <v>810920</v>
      </c>
      <c r="Q946" s="1541">
        <f t="shared" si="26"/>
        <v>824805</v>
      </c>
      <c r="R946" s="1541">
        <f t="shared" si="26"/>
        <v>-13885</v>
      </c>
    </row>
    <row r="947" spans="1:18" x14ac:dyDescent="0.3">
      <c r="A947" s="1852" t="s">
        <v>3152</v>
      </c>
      <c r="B947" s="1462"/>
      <c r="C947" s="1456">
        <v>190</v>
      </c>
      <c r="D947" s="1456">
        <v>190</v>
      </c>
      <c r="E947" s="1462"/>
      <c r="O947" s="1541">
        <f t="shared" si="26"/>
        <v>0</v>
      </c>
      <c r="P947" s="1541">
        <f t="shared" si="26"/>
        <v>190</v>
      </c>
      <c r="Q947" s="1541">
        <f t="shared" si="26"/>
        <v>190</v>
      </c>
      <c r="R947" s="1541">
        <f t="shared" si="26"/>
        <v>0</v>
      </c>
    </row>
    <row r="948" spans="1:18" x14ac:dyDescent="0.3">
      <c r="A948" s="1852" t="s">
        <v>3153</v>
      </c>
      <c r="B948" s="1462"/>
      <c r="C948" s="1456">
        <v>20150</v>
      </c>
      <c r="D948" s="1456">
        <v>20150</v>
      </c>
      <c r="E948" s="1462"/>
      <c r="O948" s="1541">
        <f t="shared" si="26"/>
        <v>0</v>
      </c>
      <c r="P948" s="1541">
        <f t="shared" si="26"/>
        <v>20150</v>
      </c>
      <c r="Q948" s="1541">
        <f t="shared" si="26"/>
        <v>20150</v>
      </c>
      <c r="R948" s="1541">
        <f t="shared" si="26"/>
        <v>0</v>
      </c>
    </row>
    <row r="949" spans="1:18" x14ac:dyDescent="0.3">
      <c r="A949" s="1852" t="s">
        <v>3154</v>
      </c>
      <c r="B949" s="1462"/>
      <c r="C949" s="1456">
        <v>510</v>
      </c>
      <c r="D949" s="1456">
        <v>510</v>
      </c>
      <c r="E949" s="1462"/>
      <c r="O949" s="1541">
        <f t="shared" si="26"/>
        <v>0</v>
      </c>
      <c r="P949" s="1541">
        <f t="shared" si="26"/>
        <v>510</v>
      </c>
      <c r="Q949" s="1541">
        <f t="shared" si="26"/>
        <v>510</v>
      </c>
      <c r="R949" s="1541">
        <f t="shared" si="26"/>
        <v>0</v>
      </c>
    </row>
    <row r="950" spans="1:18" x14ac:dyDescent="0.3">
      <c r="A950" s="1855" t="s">
        <v>3155</v>
      </c>
      <c r="B950" s="1462"/>
      <c r="C950" s="1456">
        <v>8000</v>
      </c>
      <c r="D950" s="1456">
        <v>8000</v>
      </c>
      <c r="E950" s="1462"/>
      <c r="O950" s="1541">
        <f t="shared" si="26"/>
        <v>0</v>
      </c>
      <c r="P950" s="1541">
        <f t="shared" si="26"/>
        <v>8000</v>
      </c>
      <c r="Q950" s="1541">
        <f t="shared" si="26"/>
        <v>8000</v>
      </c>
      <c r="R950" s="1541">
        <f t="shared" si="26"/>
        <v>0</v>
      </c>
    </row>
    <row r="951" spans="1:18" x14ac:dyDescent="0.3">
      <c r="A951" s="1852" t="s">
        <v>3156</v>
      </c>
      <c r="B951" s="1462"/>
      <c r="C951" s="1456">
        <v>1660</v>
      </c>
      <c r="D951" s="1456">
        <v>1660</v>
      </c>
      <c r="E951" s="1462"/>
      <c r="O951" s="1541">
        <f t="shared" si="26"/>
        <v>0</v>
      </c>
      <c r="P951" s="1541">
        <f t="shared" si="26"/>
        <v>1660</v>
      </c>
      <c r="Q951" s="1541">
        <f t="shared" si="26"/>
        <v>1660</v>
      </c>
      <c r="R951" s="1541">
        <f t="shared" si="26"/>
        <v>0</v>
      </c>
    </row>
    <row r="952" spans="1:18" x14ac:dyDescent="0.3">
      <c r="A952" s="1852" t="s">
        <v>3157</v>
      </c>
      <c r="B952" s="1462"/>
      <c r="C952" s="1456">
        <v>166</v>
      </c>
      <c r="D952" s="1456">
        <v>166</v>
      </c>
      <c r="E952" s="1462"/>
      <c r="O952" s="1541">
        <f t="shared" si="26"/>
        <v>0</v>
      </c>
      <c r="P952" s="1541">
        <f t="shared" si="26"/>
        <v>166</v>
      </c>
      <c r="Q952" s="1541">
        <f t="shared" si="26"/>
        <v>166</v>
      </c>
      <c r="R952" s="1541">
        <f t="shared" si="26"/>
        <v>0</v>
      </c>
    </row>
    <row r="953" spans="1:18" x14ac:dyDescent="0.3">
      <c r="A953" s="1855" t="s">
        <v>3158</v>
      </c>
      <c r="B953" s="1462"/>
      <c r="C953" s="1456">
        <v>9350</v>
      </c>
      <c r="D953" s="1456">
        <v>9350</v>
      </c>
      <c r="E953" s="1462"/>
      <c r="O953" s="1541">
        <f t="shared" si="26"/>
        <v>0</v>
      </c>
      <c r="P953" s="1541">
        <f t="shared" si="26"/>
        <v>9350</v>
      </c>
      <c r="Q953" s="1541">
        <f t="shared" si="26"/>
        <v>9350</v>
      </c>
      <c r="R953" s="1541">
        <f t="shared" si="26"/>
        <v>0</v>
      </c>
    </row>
    <row r="954" spans="1:18" x14ac:dyDescent="0.3">
      <c r="A954" s="1852" t="s">
        <v>3159</v>
      </c>
      <c r="B954" s="1462"/>
      <c r="C954" s="1456">
        <v>1200</v>
      </c>
      <c r="D954" s="1456">
        <v>1200</v>
      </c>
      <c r="E954" s="1462"/>
      <c r="O954" s="1541">
        <f t="shared" si="26"/>
        <v>0</v>
      </c>
      <c r="P954" s="1541">
        <f t="shared" si="26"/>
        <v>1200</v>
      </c>
      <c r="Q954" s="1541">
        <f t="shared" si="26"/>
        <v>1200</v>
      </c>
      <c r="R954" s="1541">
        <f t="shared" si="26"/>
        <v>0</v>
      </c>
    </row>
    <row r="955" spans="1:18" x14ac:dyDescent="0.3">
      <c r="A955" s="1855" t="s">
        <v>3160</v>
      </c>
      <c r="B955" s="1462"/>
      <c r="C955" s="1456">
        <v>12100</v>
      </c>
      <c r="D955" s="1456">
        <v>12100</v>
      </c>
      <c r="E955" s="1462"/>
      <c r="O955" s="1541">
        <f t="shared" si="26"/>
        <v>0</v>
      </c>
      <c r="P955" s="1541">
        <f t="shared" si="26"/>
        <v>12100</v>
      </c>
      <c r="Q955" s="1541">
        <f t="shared" si="26"/>
        <v>12100</v>
      </c>
      <c r="R955" s="1541">
        <f t="shared" si="26"/>
        <v>0</v>
      </c>
    </row>
    <row r="956" spans="1:18" x14ac:dyDescent="0.3">
      <c r="A956" s="1855" t="s">
        <v>3161</v>
      </c>
      <c r="B956" s="1462"/>
      <c r="C956" s="1456">
        <v>24200</v>
      </c>
      <c r="D956" s="1456">
        <v>24200</v>
      </c>
      <c r="E956" s="1462"/>
      <c r="O956" s="1541">
        <f t="shared" si="26"/>
        <v>0</v>
      </c>
      <c r="P956" s="1541">
        <f t="shared" si="26"/>
        <v>24200</v>
      </c>
      <c r="Q956" s="1541">
        <f t="shared" si="26"/>
        <v>24200</v>
      </c>
      <c r="R956" s="1541">
        <f t="shared" si="26"/>
        <v>0</v>
      </c>
    </row>
    <row r="957" spans="1:18" x14ac:dyDescent="0.3">
      <c r="A957" s="1855" t="s">
        <v>3162</v>
      </c>
      <c r="B957" s="1462"/>
      <c r="C957" s="1456">
        <v>210</v>
      </c>
      <c r="D957" s="1456">
        <v>210</v>
      </c>
      <c r="E957" s="1462"/>
      <c r="O957" s="1541">
        <f t="shared" si="26"/>
        <v>0</v>
      </c>
      <c r="P957" s="1541">
        <f t="shared" si="26"/>
        <v>210</v>
      </c>
      <c r="Q957" s="1541">
        <f t="shared" si="26"/>
        <v>210</v>
      </c>
      <c r="R957" s="1541">
        <f t="shared" si="26"/>
        <v>0</v>
      </c>
    </row>
    <row r="958" spans="1:18" x14ac:dyDescent="0.3">
      <c r="A958" s="1852" t="s">
        <v>3163</v>
      </c>
      <c r="B958" s="1462"/>
      <c r="C958" s="1456">
        <v>280</v>
      </c>
      <c r="D958" s="1456">
        <v>280</v>
      </c>
      <c r="E958" s="1462"/>
      <c r="O958" s="1541">
        <f t="shared" si="26"/>
        <v>0</v>
      </c>
      <c r="P958" s="1541">
        <f t="shared" si="26"/>
        <v>280</v>
      </c>
      <c r="Q958" s="1541">
        <f t="shared" si="26"/>
        <v>280</v>
      </c>
      <c r="R958" s="1541">
        <f t="shared" si="26"/>
        <v>0</v>
      </c>
    </row>
    <row r="959" spans="1:18" x14ac:dyDescent="0.3">
      <c r="A959" s="1852" t="s">
        <v>3164</v>
      </c>
      <c r="B959" s="1462"/>
      <c r="C959" s="1456">
        <v>1250</v>
      </c>
      <c r="D959" s="1456">
        <v>1250</v>
      </c>
      <c r="E959" s="1462"/>
      <c r="O959" s="1541">
        <f t="shared" si="26"/>
        <v>0</v>
      </c>
      <c r="P959" s="1541">
        <f t="shared" si="26"/>
        <v>1250</v>
      </c>
      <c r="Q959" s="1541">
        <f t="shared" si="26"/>
        <v>1250</v>
      </c>
      <c r="R959" s="1541">
        <f t="shared" si="26"/>
        <v>0</v>
      </c>
    </row>
    <row r="960" spans="1:18" x14ac:dyDescent="0.3">
      <c r="A960" s="1852" t="s">
        <v>3165</v>
      </c>
      <c r="B960" s="1462"/>
      <c r="C960" s="1456">
        <v>19135</v>
      </c>
      <c r="D960" s="1456">
        <v>3160</v>
      </c>
      <c r="E960" s="1896">
        <v>15975</v>
      </c>
      <c r="O960" s="1541">
        <f t="shared" si="26"/>
        <v>0</v>
      </c>
      <c r="P960" s="1541">
        <f t="shared" si="26"/>
        <v>19135</v>
      </c>
      <c r="Q960" s="1541">
        <f t="shared" si="26"/>
        <v>3160</v>
      </c>
      <c r="R960" s="1541">
        <f t="shared" si="26"/>
        <v>15975</v>
      </c>
    </row>
    <row r="961" spans="1:18" x14ac:dyDescent="0.3">
      <c r="A961" s="1852" t="s">
        <v>3166</v>
      </c>
      <c r="B961" s="1462"/>
      <c r="C961" s="1456">
        <v>586</v>
      </c>
      <c r="D961" s="1456">
        <v>586</v>
      </c>
      <c r="E961" s="1462"/>
      <c r="O961" s="1541">
        <f t="shared" si="26"/>
        <v>0</v>
      </c>
      <c r="P961" s="1541">
        <f t="shared" si="26"/>
        <v>586</v>
      </c>
      <c r="Q961" s="1541">
        <f t="shared" si="26"/>
        <v>586</v>
      </c>
      <c r="R961" s="1541">
        <f t="shared" si="26"/>
        <v>0</v>
      </c>
    </row>
    <row r="962" spans="1:18" x14ac:dyDescent="0.3">
      <c r="A962" s="1852" t="s">
        <v>3167</v>
      </c>
      <c r="B962" s="1462"/>
      <c r="C962" s="1456">
        <v>1660</v>
      </c>
      <c r="D962" s="1456">
        <v>1660</v>
      </c>
      <c r="E962" s="1462"/>
      <c r="O962" s="1541">
        <f t="shared" si="26"/>
        <v>0</v>
      </c>
      <c r="P962" s="1541">
        <f t="shared" si="26"/>
        <v>1660</v>
      </c>
      <c r="Q962" s="1541">
        <f t="shared" si="26"/>
        <v>1660</v>
      </c>
      <c r="R962" s="1541">
        <f t="shared" si="26"/>
        <v>0</v>
      </c>
    </row>
    <row r="963" spans="1:18" x14ac:dyDescent="0.3">
      <c r="A963" s="1852" t="s">
        <v>3168</v>
      </c>
      <c r="B963" s="1462"/>
      <c r="C963" s="1456">
        <v>8806</v>
      </c>
      <c r="D963" s="1456">
        <v>8906</v>
      </c>
      <c r="E963" s="1471">
        <v>-100</v>
      </c>
      <c r="O963" s="1541">
        <f t="shared" si="26"/>
        <v>0</v>
      </c>
      <c r="P963" s="1541">
        <f t="shared" si="26"/>
        <v>8806</v>
      </c>
      <c r="Q963" s="1541">
        <f t="shared" si="26"/>
        <v>8906</v>
      </c>
      <c r="R963" s="1541">
        <f t="shared" si="26"/>
        <v>-100</v>
      </c>
    </row>
    <row r="964" spans="1:18" x14ac:dyDescent="0.3">
      <c r="A964" s="1855" t="s">
        <v>3169</v>
      </c>
      <c r="B964" s="1462"/>
      <c r="C964" s="1456">
        <v>280</v>
      </c>
      <c r="D964" s="1456">
        <v>280</v>
      </c>
      <c r="E964" s="1462"/>
      <c r="O964" s="1541">
        <f t="shared" si="26"/>
        <v>0</v>
      </c>
      <c r="P964" s="1541">
        <f t="shared" si="26"/>
        <v>280</v>
      </c>
      <c r="Q964" s="1541">
        <f t="shared" si="26"/>
        <v>280</v>
      </c>
      <c r="R964" s="1541">
        <f t="shared" si="26"/>
        <v>0</v>
      </c>
    </row>
    <row r="965" spans="1:18" x14ac:dyDescent="0.3">
      <c r="A965" s="1852" t="s">
        <v>3170</v>
      </c>
      <c r="B965" s="1462"/>
      <c r="C965" s="1460"/>
      <c r="D965" s="1456">
        <v>10320</v>
      </c>
      <c r="E965" s="1471">
        <v>-10320</v>
      </c>
      <c r="O965" s="1541">
        <f t="shared" si="26"/>
        <v>0</v>
      </c>
      <c r="P965" s="1541">
        <f t="shared" si="26"/>
        <v>0</v>
      </c>
      <c r="Q965" s="1541">
        <f t="shared" si="26"/>
        <v>10320</v>
      </c>
      <c r="R965" s="1541">
        <f t="shared" si="26"/>
        <v>-10320</v>
      </c>
    </row>
    <row r="966" spans="1:18" x14ac:dyDescent="0.3">
      <c r="A966" s="1852" t="s">
        <v>3171</v>
      </c>
      <c r="B966" s="1462"/>
      <c r="C966" s="1456">
        <v>16068</v>
      </c>
      <c r="D966" s="1456">
        <v>16068</v>
      </c>
      <c r="E966" s="1462"/>
      <c r="O966" s="1541">
        <f t="shared" si="26"/>
        <v>0</v>
      </c>
      <c r="P966" s="1541">
        <f t="shared" si="26"/>
        <v>16068</v>
      </c>
      <c r="Q966" s="1541">
        <f t="shared" si="26"/>
        <v>16068</v>
      </c>
      <c r="R966" s="1541">
        <f t="shared" si="26"/>
        <v>0</v>
      </c>
    </row>
    <row r="967" spans="1:18" x14ac:dyDescent="0.3">
      <c r="A967" s="1852" t="s">
        <v>3172</v>
      </c>
      <c r="B967" s="1462"/>
      <c r="C967" s="1456">
        <v>3556</v>
      </c>
      <c r="D967" s="1456">
        <v>3556</v>
      </c>
      <c r="E967" s="1462"/>
      <c r="O967" s="1541">
        <f t="shared" si="26"/>
        <v>0</v>
      </c>
      <c r="P967" s="1541">
        <f t="shared" si="26"/>
        <v>3556</v>
      </c>
      <c r="Q967" s="1541">
        <f t="shared" si="26"/>
        <v>3556</v>
      </c>
      <c r="R967" s="1541">
        <f t="shared" si="26"/>
        <v>0</v>
      </c>
    </row>
    <row r="968" spans="1:18" x14ac:dyDescent="0.3">
      <c r="A968" s="1852" t="s">
        <v>3173</v>
      </c>
      <c r="B968" s="1462"/>
      <c r="C968" s="1456">
        <v>24506</v>
      </c>
      <c r="D968" s="1456">
        <v>27350</v>
      </c>
      <c r="E968" s="1471">
        <v>-2844</v>
      </c>
      <c r="O968" s="1541">
        <f t="shared" si="26"/>
        <v>0</v>
      </c>
      <c r="P968" s="1541">
        <f t="shared" si="26"/>
        <v>24506</v>
      </c>
      <c r="Q968" s="1541">
        <f t="shared" si="26"/>
        <v>27350</v>
      </c>
      <c r="R968" s="1541">
        <f t="shared" si="26"/>
        <v>-2844</v>
      </c>
    </row>
    <row r="969" spans="1:18" x14ac:dyDescent="0.3">
      <c r="A969" s="1852" t="s">
        <v>3174</v>
      </c>
      <c r="B969" s="1462"/>
      <c r="C969" s="1456">
        <v>1050</v>
      </c>
      <c r="D969" s="1456">
        <v>1050</v>
      </c>
      <c r="E969" s="1462"/>
      <c r="O969" s="1541">
        <f t="shared" si="26"/>
        <v>0</v>
      </c>
      <c r="P969" s="1541">
        <f t="shared" si="26"/>
        <v>1050</v>
      </c>
      <c r="Q969" s="1541">
        <f t="shared" si="26"/>
        <v>1050</v>
      </c>
      <c r="R969" s="1541">
        <f t="shared" si="26"/>
        <v>0</v>
      </c>
    </row>
    <row r="970" spans="1:18" x14ac:dyDescent="0.3">
      <c r="A970" s="1855" t="s">
        <v>3175</v>
      </c>
      <c r="B970" s="1462"/>
      <c r="C970" s="1456">
        <v>2320</v>
      </c>
      <c r="D970" s="1456">
        <v>2320</v>
      </c>
      <c r="E970" s="1462"/>
      <c r="O970" s="1541">
        <f t="shared" si="26"/>
        <v>0</v>
      </c>
      <c r="P970" s="1541">
        <f t="shared" si="26"/>
        <v>2320</v>
      </c>
      <c r="Q970" s="1541">
        <f t="shared" si="26"/>
        <v>2320</v>
      </c>
      <c r="R970" s="1541">
        <f t="shared" si="26"/>
        <v>0</v>
      </c>
    </row>
    <row r="971" spans="1:18" x14ac:dyDescent="0.3">
      <c r="A971" s="1852" t="s">
        <v>3176</v>
      </c>
      <c r="B971" s="1462"/>
      <c r="C971" s="1456">
        <v>3504</v>
      </c>
      <c r="D971" s="1456">
        <v>3504</v>
      </c>
      <c r="E971" s="1462"/>
      <c r="O971" s="1541">
        <f t="shared" si="26"/>
        <v>0</v>
      </c>
      <c r="P971" s="1541">
        <f t="shared" si="26"/>
        <v>3504</v>
      </c>
      <c r="Q971" s="1541">
        <f t="shared" si="26"/>
        <v>3504</v>
      </c>
      <c r="R971" s="1541">
        <f t="shared" si="26"/>
        <v>0</v>
      </c>
    </row>
    <row r="972" spans="1:18" x14ac:dyDescent="0.3">
      <c r="A972" s="1852" t="s">
        <v>3177</v>
      </c>
      <c r="B972" s="1462"/>
      <c r="C972" s="1456">
        <v>3410</v>
      </c>
      <c r="D972" s="1456">
        <v>3410</v>
      </c>
      <c r="E972" s="1462"/>
      <c r="O972" s="1541">
        <f t="shared" si="26"/>
        <v>0</v>
      </c>
      <c r="P972" s="1541">
        <f t="shared" si="26"/>
        <v>3410</v>
      </c>
      <c r="Q972" s="1541">
        <f t="shared" si="26"/>
        <v>3410</v>
      </c>
      <c r="R972" s="1541">
        <f t="shared" si="26"/>
        <v>0</v>
      </c>
    </row>
    <row r="973" spans="1:18" x14ac:dyDescent="0.3">
      <c r="A973" s="1852" t="s">
        <v>3178</v>
      </c>
      <c r="B973" s="1462"/>
      <c r="C973" s="1456">
        <v>30020</v>
      </c>
      <c r="D973" s="1456">
        <v>30020</v>
      </c>
      <c r="E973" s="1462"/>
      <c r="O973" s="1541">
        <f t="shared" si="26"/>
        <v>0</v>
      </c>
      <c r="P973" s="1541">
        <f t="shared" si="26"/>
        <v>30020</v>
      </c>
      <c r="Q973" s="1541">
        <f t="shared" si="26"/>
        <v>30020</v>
      </c>
      <c r="R973" s="1541">
        <f t="shared" si="26"/>
        <v>0</v>
      </c>
    </row>
    <row r="974" spans="1:18" x14ac:dyDescent="0.3">
      <c r="A974" s="1855" t="s">
        <v>3179</v>
      </c>
      <c r="B974" s="1462"/>
      <c r="C974" s="1456">
        <v>3466</v>
      </c>
      <c r="D974" s="1456">
        <v>3466</v>
      </c>
      <c r="E974" s="1462"/>
      <c r="O974" s="1541">
        <f t="shared" si="26"/>
        <v>0</v>
      </c>
      <c r="P974" s="1541">
        <f t="shared" si="26"/>
        <v>3466</v>
      </c>
      <c r="Q974" s="1541">
        <f t="shared" si="26"/>
        <v>3466</v>
      </c>
      <c r="R974" s="1541">
        <f t="shared" si="26"/>
        <v>0</v>
      </c>
    </row>
    <row r="975" spans="1:18" x14ac:dyDescent="0.3">
      <c r="A975" s="1852" t="s">
        <v>3180</v>
      </c>
      <c r="B975" s="1462"/>
      <c r="C975" s="1456">
        <v>680</v>
      </c>
      <c r="D975" s="1456">
        <v>680</v>
      </c>
      <c r="E975" s="1462"/>
      <c r="O975" s="1541">
        <f t="shared" si="26"/>
        <v>0</v>
      </c>
      <c r="P975" s="1541">
        <f t="shared" si="26"/>
        <v>680</v>
      </c>
      <c r="Q975" s="1541">
        <f t="shared" si="26"/>
        <v>680</v>
      </c>
      <c r="R975" s="1541">
        <f t="shared" si="26"/>
        <v>0</v>
      </c>
    </row>
    <row r="976" spans="1:18" x14ac:dyDescent="0.3">
      <c r="A976" s="1852" t="s">
        <v>3181</v>
      </c>
      <c r="B976" s="1462"/>
      <c r="C976" s="1456">
        <v>200</v>
      </c>
      <c r="D976" s="1456">
        <v>200</v>
      </c>
      <c r="E976" s="1462"/>
      <c r="O976" s="1541">
        <f t="shared" si="26"/>
        <v>0</v>
      </c>
      <c r="P976" s="1541">
        <f t="shared" si="26"/>
        <v>200</v>
      </c>
      <c r="Q976" s="1541">
        <f t="shared" si="26"/>
        <v>200</v>
      </c>
      <c r="R976" s="1541">
        <f t="shared" si="26"/>
        <v>0</v>
      </c>
    </row>
    <row r="977" spans="1:18" x14ac:dyDescent="0.3">
      <c r="A977" s="1852" t="s">
        <v>3182</v>
      </c>
      <c r="B977" s="1462"/>
      <c r="C977" s="1456">
        <v>200</v>
      </c>
      <c r="D977" s="1456">
        <v>200</v>
      </c>
      <c r="E977" s="1462"/>
      <c r="O977" s="1541">
        <f t="shared" si="26"/>
        <v>0</v>
      </c>
      <c r="P977" s="1541">
        <f t="shared" si="26"/>
        <v>200</v>
      </c>
      <c r="Q977" s="1541">
        <f t="shared" si="26"/>
        <v>200</v>
      </c>
      <c r="R977" s="1541">
        <f t="shared" si="26"/>
        <v>0</v>
      </c>
    </row>
    <row r="978" spans="1:18" x14ac:dyDescent="0.3">
      <c r="A978" s="1461" t="s">
        <v>3183</v>
      </c>
      <c r="B978" s="1462"/>
      <c r="C978" s="1456">
        <v>7334</v>
      </c>
      <c r="D978" s="1456">
        <v>7334</v>
      </c>
      <c r="E978" s="1462"/>
      <c r="O978" s="1541">
        <f t="shared" si="26"/>
        <v>0</v>
      </c>
      <c r="P978" s="1541">
        <f t="shared" si="26"/>
        <v>7334</v>
      </c>
      <c r="Q978" s="1541">
        <f t="shared" si="26"/>
        <v>7334</v>
      </c>
      <c r="R978" s="1541">
        <f t="shared" si="26"/>
        <v>0</v>
      </c>
    </row>
    <row r="979" spans="1:18" x14ac:dyDescent="0.3">
      <c r="A979" s="1852" t="s">
        <v>3184</v>
      </c>
      <c r="B979" s="1462"/>
      <c r="C979" s="1456">
        <v>4122</v>
      </c>
      <c r="D979" s="1456">
        <v>4122</v>
      </c>
      <c r="E979" s="1462"/>
      <c r="O979" s="1541">
        <f t="shared" si="26"/>
        <v>0</v>
      </c>
      <c r="P979" s="1541">
        <f t="shared" si="26"/>
        <v>4122</v>
      </c>
      <c r="Q979" s="1541">
        <f t="shared" si="26"/>
        <v>4122</v>
      </c>
      <c r="R979" s="1541">
        <f t="shared" si="26"/>
        <v>0</v>
      </c>
    </row>
    <row r="980" spans="1:18" x14ac:dyDescent="0.3">
      <c r="A980" s="1852" t="s">
        <v>3185</v>
      </c>
      <c r="B980" s="1462"/>
      <c r="C980" s="1456">
        <v>360</v>
      </c>
      <c r="D980" s="1456">
        <v>360</v>
      </c>
      <c r="E980" s="1462"/>
      <c r="O980" s="1541">
        <f t="shared" si="26"/>
        <v>0</v>
      </c>
      <c r="P980" s="1541">
        <f t="shared" si="26"/>
        <v>360</v>
      </c>
      <c r="Q980" s="1541">
        <f t="shared" si="26"/>
        <v>360</v>
      </c>
      <c r="R980" s="1541">
        <f t="shared" si="26"/>
        <v>0</v>
      </c>
    </row>
    <row r="981" spans="1:18" x14ac:dyDescent="0.3">
      <c r="A981" s="1852" t="s">
        <v>3186</v>
      </c>
      <c r="B981" s="1462"/>
      <c r="C981" s="1456">
        <v>660</v>
      </c>
      <c r="D981" s="1456">
        <v>660</v>
      </c>
      <c r="E981" s="1462"/>
      <c r="O981" s="1541">
        <f t="shared" si="26"/>
        <v>0</v>
      </c>
      <c r="P981" s="1541">
        <f t="shared" si="26"/>
        <v>660</v>
      </c>
      <c r="Q981" s="1541">
        <f t="shared" si="26"/>
        <v>660</v>
      </c>
      <c r="R981" s="1541">
        <f t="shared" si="26"/>
        <v>0</v>
      </c>
    </row>
    <row r="982" spans="1:18" x14ac:dyDescent="0.3">
      <c r="A982" s="1852" t="s">
        <v>3187</v>
      </c>
      <c r="B982" s="1462"/>
      <c r="C982" s="1456">
        <v>380</v>
      </c>
      <c r="D982" s="1456">
        <v>380</v>
      </c>
      <c r="E982" s="1462"/>
      <c r="O982" s="1541">
        <f t="shared" si="26"/>
        <v>0</v>
      </c>
      <c r="P982" s="1541">
        <f t="shared" si="26"/>
        <v>380</v>
      </c>
      <c r="Q982" s="1541">
        <f t="shared" si="26"/>
        <v>380</v>
      </c>
      <c r="R982" s="1541">
        <f t="shared" si="26"/>
        <v>0</v>
      </c>
    </row>
    <row r="983" spans="1:18" x14ac:dyDescent="0.3">
      <c r="A983" s="1852" t="s">
        <v>3188</v>
      </c>
      <c r="B983" s="1462"/>
      <c r="C983" s="1456">
        <v>732</v>
      </c>
      <c r="D983" s="1456">
        <v>732</v>
      </c>
      <c r="E983" s="1462"/>
      <c r="O983" s="1541">
        <f t="shared" si="26"/>
        <v>0</v>
      </c>
      <c r="P983" s="1541">
        <f t="shared" si="26"/>
        <v>732</v>
      </c>
      <c r="Q983" s="1541">
        <f t="shared" si="26"/>
        <v>732</v>
      </c>
      <c r="R983" s="1541">
        <f t="shared" si="26"/>
        <v>0</v>
      </c>
    </row>
    <row r="984" spans="1:18" x14ac:dyDescent="0.3">
      <c r="A984" s="1852" t="s">
        <v>3189</v>
      </c>
      <c r="B984" s="1462"/>
      <c r="C984" s="1456">
        <v>840</v>
      </c>
      <c r="D984" s="1456">
        <v>840</v>
      </c>
      <c r="E984" s="1462"/>
      <c r="O984" s="1541">
        <f t="shared" si="26"/>
        <v>0</v>
      </c>
      <c r="P984" s="1541">
        <f t="shared" si="26"/>
        <v>840</v>
      </c>
      <c r="Q984" s="1541">
        <f t="shared" si="26"/>
        <v>840</v>
      </c>
      <c r="R984" s="1541">
        <f t="shared" si="26"/>
        <v>0</v>
      </c>
    </row>
    <row r="985" spans="1:18" x14ac:dyDescent="0.3">
      <c r="A985" s="1852" t="s">
        <v>3190</v>
      </c>
      <c r="B985" s="1462"/>
      <c r="C985" s="1456">
        <v>612</v>
      </c>
      <c r="D985" s="1456">
        <v>612</v>
      </c>
      <c r="E985" s="1462"/>
      <c r="O985" s="1541">
        <f t="shared" si="26"/>
        <v>0</v>
      </c>
      <c r="P985" s="1541">
        <f t="shared" si="26"/>
        <v>612</v>
      </c>
      <c r="Q985" s="1541">
        <f t="shared" si="26"/>
        <v>612</v>
      </c>
      <c r="R985" s="1541">
        <f t="shared" si="26"/>
        <v>0</v>
      </c>
    </row>
    <row r="986" spans="1:18" x14ac:dyDescent="0.3">
      <c r="A986" s="1852" t="s">
        <v>3191</v>
      </c>
      <c r="B986" s="1462"/>
      <c r="C986" s="1456">
        <v>140</v>
      </c>
      <c r="D986" s="1456">
        <v>140</v>
      </c>
      <c r="E986" s="1462"/>
      <c r="O986" s="1541">
        <f t="shared" si="26"/>
        <v>0</v>
      </c>
      <c r="P986" s="1541">
        <f t="shared" si="26"/>
        <v>140</v>
      </c>
      <c r="Q986" s="1541">
        <f t="shared" si="26"/>
        <v>140</v>
      </c>
      <c r="R986" s="1541">
        <f t="shared" si="26"/>
        <v>0</v>
      </c>
    </row>
    <row r="987" spans="1:18" x14ac:dyDescent="0.3">
      <c r="A987" s="1852" t="s">
        <v>3192</v>
      </c>
      <c r="B987" s="1462"/>
      <c r="C987" s="1456">
        <v>629179</v>
      </c>
      <c r="D987" s="1456">
        <v>601369</v>
      </c>
      <c r="E987" s="1896">
        <v>27810</v>
      </c>
      <c r="O987" s="1541">
        <f t="shared" si="26"/>
        <v>0</v>
      </c>
      <c r="P987" s="1541">
        <f t="shared" si="26"/>
        <v>629179</v>
      </c>
      <c r="Q987" s="1541">
        <f t="shared" si="26"/>
        <v>601369</v>
      </c>
      <c r="R987" s="1541">
        <f t="shared" si="26"/>
        <v>27810</v>
      </c>
    </row>
    <row r="988" spans="1:18" x14ac:dyDescent="0.3">
      <c r="A988" s="1855" t="s">
        <v>3193</v>
      </c>
      <c r="B988" s="1462"/>
      <c r="C988" s="1456">
        <v>26418</v>
      </c>
      <c r="D988" s="1456">
        <v>26418</v>
      </c>
      <c r="E988" s="1462"/>
      <c r="O988" s="1541">
        <f t="shared" si="26"/>
        <v>0</v>
      </c>
      <c r="P988" s="1541">
        <f t="shared" si="26"/>
        <v>26418</v>
      </c>
      <c r="Q988" s="1541">
        <f t="shared" si="26"/>
        <v>26418</v>
      </c>
      <c r="R988" s="1541">
        <f t="shared" si="26"/>
        <v>0</v>
      </c>
    </row>
    <row r="989" spans="1:18" x14ac:dyDescent="0.3">
      <c r="A989" s="1852" t="s">
        <v>3194</v>
      </c>
      <c r="B989" s="1462"/>
      <c r="C989" s="1456">
        <v>1730</v>
      </c>
      <c r="D989" s="1456">
        <v>1730</v>
      </c>
      <c r="E989" s="1462"/>
      <c r="O989" s="1541">
        <f t="shared" si="26"/>
        <v>0</v>
      </c>
      <c r="P989" s="1541">
        <f t="shared" si="26"/>
        <v>1730</v>
      </c>
      <c r="Q989" s="1541">
        <f t="shared" si="26"/>
        <v>1730</v>
      </c>
      <c r="R989" s="1541">
        <f t="shared" si="26"/>
        <v>0</v>
      </c>
    </row>
    <row r="990" spans="1:18" x14ac:dyDescent="0.3">
      <c r="A990" s="1852" t="s">
        <v>3195</v>
      </c>
      <c r="B990" s="1462"/>
      <c r="C990" s="1456">
        <v>320</v>
      </c>
      <c r="D990" s="1456">
        <v>320</v>
      </c>
      <c r="E990" s="1462"/>
      <c r="O990" s="1541">
        <f t="shared" si="26"/>
        <v>0</v>
      </c>
      <c r="P990" s="1541">
        <f t="shared" si="26"/>
        <v>320</v>
      </c>
      <c r="Q990" s="1541">
        <f t="shared" si="26"/>
        <v>320</v>
      </c>
      <c r="R990" s="1541">
        <f t="shared" si="26"/>
        <v>0</v>
      </c>
    </row>
    <row r="991" spans="1:18" x14ac:dyDescent="0.3">
      <c r="A991" s="1852" t="s">
        <v>3196</v>
      </c>
      <c r="B991" s="1462"/>
      <c r="C991" s="1456">
        <v>1642</v>
      </c>
      <c r="D991" s="1456">
        <v>1642</v>
      </c>
      <c r="E991" s="1462"/>
      <c r="O991" s="1541">
        <f t="shared" si="26"/>
        <v>0</v>
      </c>
      <c r="P991" s="1541">
        <f t="shared" si="26"/>
        <v>1642</v>
      </c>
      <c r="Q991" s="1541">
        <f t="shared" si="26"/>
        <v>1642</v>
      </c>
      <c r="R991" s="1541">
        <f t="shared" si="26"/>
        <v>0</v>
      </c>
    </row>
    <row r="992" spans="1:18" x14ac:dyDescent="0.3">
      <c r="A992" s="1852" t="s">
        <v>3197</v>
      </c>
      <c r="B992" s="1462"/>
      <c r="C992" s="1456">
        <v>306</v>
      </c>
      <c r="D992" s="1456">
        <v>306</v>
      </c>
      <c r="E992" s="1462"/>
      <c r="O992" s="1541">
        <f t="shared" si="26"/>
        <v>0</v>
      </c>
      <c r="P992" s="1541">
        <f t="shared" si="26"/>
        <v>306</v>
      </c>
      <c r="Q992" s="1541">
        <f t="shared" si="26"/>
        <v>306</v>
      </c>
      <c r="R992" s="1541">
        <f t="shared" si="26"/>
        <v>0</v>
      </c>
    </row>
    <row r="993" spans="1:18" x14ac:dyDescent="0.3">
      <c r="A993" s="1852" t="s">
        <v>3198</v>
      </c>
      <c r="B993" s="1462"/>
      <c r="C993" s="1456">
        <v>1132</v>
      </c>
      <c r="D993" s="1456">
        <v>1132</v>
      </c>
      <c r="E993" s="1462"/>
      <c r="O993" s="1541">
        <f t="shared" si="26"/>
        <v>0</v>
      </c>
      <c r="P993" s="1541">
        <f t="shared" si="26"/>
        <v>1132</v>
      </c>
      <c r="Q993" s="1541">
        <f t="shared" si="26"/>
        <v>1132</v>
      </c>
      <c r="R993" s="1541">
        <f t="shared" si="26"/>
        <v>0</v>
      </c>
    </row>
    <row r="994" spans="1:18" x14ac:dyDescent="0.3">
      <c r="A994" s="1852" t="s">
        <v>3199</v>
      </c>
      <c r="B994" s="1462"/>
      <c r="C994" s="1456">
        <v>610</v>
      </c>
      <c r="D994" s="1456">
        <v>610</v>
      </c>
      <c r="E994" s="1462"/>
      <c r="O994" s="1541">
        <f t="shared" si="26"/>
        <v>0</v>
      </c>
      <c r="P994" s="1541">
        <f t="shared" si="26"/>
        <v>610</v>
      </c>
      <c r="Q994" s="1541">
        <f t="shared" si="26"/>
        <v>610</v>
      </c>
      <c r="R994" s="1541">
        <f t="shared" si="26"/>
        <v>0</v>
      </c>
    </row>
    <row r="995" spans="1:18" x14ac:dyDescent="0.3">
      <c r="A995" s="1852" t="s">
        <v>3200</v>
      </c>
      <c r="B995" s="1462"/>
      <c r="C995" s="1456">
        <v>1348</v>
      </c>
      <c r="D995" s="1456">
        <v>1348</v>
      </c>
      <c r="E995" s="1462"/>
      <c r="O995" s="1541">
        <f t="shared" si="26"/>
        <v>0</v>
      </c>
      <c r="P995" s="1541">
        <f t="shared" si="26"/>
        <v>1348</v>
      </c>
      <c r="Q995" s="1541">
        <f t="shared" si="26"/>
        <v>1348</v>
      </c>
      <c r="R995" s="1541">
        <f t="shared" si="26"/>
        <v>0</v>
      </c>
    </row>
    <row r="996" spans="1:18" x14ac:dyDescent="0.3">
      <c r="A996" s="1855" t="s">
        <v>3201</v>
      </c>
      <c r="B996" s="1462"/>
      <c r="C996" s="1456">
        <v>656</v>
      </c>
      <c r="D996" s="1456">
        <v>656</v>
      </c>
      <c r="E996" s="1462"/>
      <c r="O996" s="1541">
        <f t="shared" si="26"/>
        <v>0</v>
      </c>
      <c r="P996" s="1541">
        <f t="shared" si="26"/>
        <v>656</v>
      </c>
      <c r="Q996" s="1541">
        <f t="shared" si="26"/>
        <v>656</v>
      </c>
      <c r="R996" s="1541">
        <f t="shared" si="26"/>
        <v>0</v>
      </c>
    </row>
    <row r="997" spans="1:18" x14ac:dyDescent="0.3">
      <c r="A997" s="1852" t="s">
        <v>3202</v>
      </c>
      <c r="B997" s="1462"/>
      <c r="C997" s="1456">
        <v>902</v>
      </c>
      <c r="D997" s="1456">
        <v>942</v>
      </c>
      <c r="E997" s="1471">
        <v>-40</v>
      </c>
      <c r="O997" s="1541">
        <f t="shared" si="26"/>
        <v>0</v>
      </c>
      <c r="P997" s="1541">
        <f t="shared" si="26"/>
        <v>902</v>
      </c>
      <c r="Q997" s="1541">
        <f t="shared" si="26"/>
        <v>942</v>
      </c>
      <c r="R997" s="1541">
        <f t="shared" si="26"/>
        <v>-40</v>
      </c>
    </row>
    <row r="998" spans="1:18" x14ac:dyDescent="0.3">
      <c r="A998" s="1852" t="s">
        <v>3203</v>
      </c>
      <c r="B998" s="1462"/>
      <c r="C998" s="1456">
        <v>14127</v>
      </c>
      <c r="D998" s="1456">
        <v>14127</v>
      </c>
      <c r="E998" s="1462"/>
      <c r="O998" s="1541">
        <f t="shared" si="26"/>
        <v>0</v>
      </c>
      <c r="P998" s="1541">
        <f t="shared" si="26"/>
        <v>14127</v>
      </c>
      <c r="Q998" s="1541">
        <f t="shared" si="26"/>
        <v>14127</v>
      </c>
      <c r="R998" s="1541">
        <f t="shared" si="26"/>
        <v>0</v>
      </c>
    </row>
    <row r="999" spans="1:18" x14ac:dyDescent="0.3">
      <c r="A999" s="1852" t="s">
        <v>3204</v>
      </c>
      <c r="B999" s="1462"/>
      <c r="C999" s="1456">
        <v>2112</v>
      </c>
      <c r="D999" s="1456">
        <v>2112</v>
      </c>
      <c r="E999" s="1462"/>
      <c r="O999" s="1541">
        <f t="shared" si="26"/>
        <v>0</v>
      </c>
      <c r="P999" s="1541">
        <f t="shared" si="26"/>
        <v>2112</v>
      </c>
      <c r="Q999" s="1541">
        <f t="shared" si="26"/>
        <v>2112</v>
      </c>
      <c r="R999" s="1541">
        <f t="shared" si="26"/>
        <v>0</v>
      </c>
    </row>
    <row r="1000" spans="1:18" x14ac:dyDescent="0.3">
      <c r="A1000" s="1852" t="s">
        <v>3205</v>
      </c>
      <c r="B1000" s="1462"/>
      <c r="C1000" s="1456">
        <v>1520</v>
      </c>
      <c r="D1000" s="1456">
        <v>1520</v>
      </c>
      <c r="E1000" s="1462"/>
      <c r="O1000" s="1541">
        <f t="shared" si="26"/>
        <v>0</v>
      </c>
      <c r="P1000" s="1541">
        <f t="shared" si="26"/>
        <v>1520</v>
      </c>
      <c r="Q1000" s="1541">
        <f t="shared" si="26"/>
        <v>1520</v>
      </c>
      <c r="R1000" s="1541">
        <f t="shared" si="26"/>
        <v>0</v>
      </c>
    </row>
    <row r="1001" spans="1:18" x14ac:dyDescent="0.3">
      <c r="A1001" s="1852" t="s">
        <v>3206</v>
      </c>
      <c r="B1001" s="1462"/>
      <c r="C1001" s="1456">
        <v>166</v>
      </c>
      <c r="D1001" s="1456">
        <v>166</v>
      </c>
      <c r="E1001" s="1462"/>
      <c r="O1001" s="1541">
        <f t="shared" si="26"/>
        <v>0</v>
      </c>
      <c r="P1001" s="1541">
        <f t="shared" si="26"/>
        <v>166</v>
      </c>
      <c r="Q1001" s="1541">
        <f t="shared" si="26"/>
        <v>166</v>
      </c>
      <c r="R1001" s="1541">
        <f t="shared" si="26"/>
        <v>0</v>
      </c>
    </row>
    <row r="1002" spans="1:18" x14ac:dyDescent="0.3">
      <c r="A1002" s="1855" t="s">
        <v>3207</v>
      </c>
      <c r="B1002" s="1462"/>
      <c r="C1002" s="1456">
        <v>10256</v>
      </c>
      <c r="D1002" s="1456">
        <v>10256</v>
      </c>
      <c r="E1002" s="1462"/>
      <c r="O1002" s="1541">
        <f t="shared" si="26"/>
        <v>0</v>
      </c>
      <c r="P1002" s="1541">
        <f t="shared" si="26"/>
        <v>10256</v>
      </c>
      <c r="Q1002" s="1541">
        <f t="shared" si="26"/>
        <v>10256</v>
      </c>
      <c r="R1002" s="1541">
        <f t="shared" si="26"/>
        <v>0</v>
      </c>
    </row>
    <row r="1003" spans="1:18" x14ac:dyDescent="0.3">
      <c r="A1003" s="1852" t="s">
        <v>3208</v>
      </c>
      <c r="B1003" s="1462"/>
      <c r="C1003" s="1456">
        <v>22250</v>
      </c>
      <c r="D1003" s="1456">
        <v>22250</v>
      </c>
      <c r="E1003" s="1462"/>
      <c r="O1003" s="1541">
        <f t="shared" si="26"/>
        <v>0</v>
      </c>
      <c r="P1003" s="1541">
        <f t="shared" si="26"/>
        <v>22250</v>
      </c>
      <c r="Q1003" s="1541">
        <f t="shared" si="26"/>
        <v>22250</v>
      </c>
      <c r="R1003" s="1541">
        <f t="shared" si="26"/>
        <v>0</v>
      </c>
    </row>
    <row r="1004" spans="1:18" x14ac:dyDescent="0.3">
      <c r="A1004" s="1852" t="s">
        <v>3209</v>
      </c>
      <c r="B1004" s="1462"/>
      <c r="C1004" s="1456">
        <v>390</v>
      </c>
      <c r="D1004" s="1456">
        <v>390</v>
      </c>
      <c r="E1004" s="1462"/>
      <c r="O1004" s="1541">
        <f t="shared" si="26"/>
        <v>0</v>
      </c>
      <c r="P1004" s="1541">
        <f t="shared" si="26"/>
        <v>390</v>
      </c>
      <c r="Q1004" s="1541">
        <f t="shared" si="26"/>
        <v>390</v>
      </c>
      <c r="R1004" s="1541">
        <f t="shared" si="26"/>
        <v>0</v>
      </c>
    </row>
    <row r="1005" spans="1:18" x14ac:dyDescent="0.3">
      <c r="A1005" s="1855" t="s">
        <v>3210</v>
      </c>
      <c r="B1005" s="1462"/>
      <c r="C1005" s="1456">
        <v>280</v>
      </c>
      <c r="D1005" s="1456">
        <v>280</v>
      </c>
      <c r="E1005" s="1462"/>
      <c r="O1005" s="1541">
        <f t="shared" si="26"/>
        <v>0</v>
      </c>
      <c r="P1005" s="1541">
        <f t="shared" si="26"/>
        <v>280</v>
      </c>
      <c r="Q1005" s="1541">
        <f t="shared" si="26"/>
        <v>280</v>
      </c>
      <c r="R1005" s="1541">
        <f t="shared" si="26"/>
        <v>0</v>
      </c>
    </row>
    <row r="1006" spans="1:18" x14ac:dyDescent="0.3">
      <c r="A1006" s="1855" t="s">
        <v>3211</v>
      </c>
      <c r="B1006" s="1462"/>
      <c r="C1006" s="1456">
        <v>8625</v>
      </c>
      <c r="D1006" s="1456">
        <v>8625</v>
      </c>
      <c r="E1006" s="1462"/>
      <c r="O1006" s="1541">
        <f t="shared" si="26"/>
        <v>0</v>
      </c>
      <c r="P1006" s="1541">
        <f t="shared" si="26"/>
        <v>8625</v>
      </c>
      <c r="Q1006" s="1541">
        <f t="shared" si="26"/>
        <v>8625</v>
      </c>
      <c r="R1006" s="1541">
        <f t="shared" ref="R1006:R1069" si="27">E1006+L1006</f>
        <v>0</v>
      </c>
    </row>
    <row r="1007" spans="1:18" x14ac:dyDescent="0.3">
      <c r="A1007" s="1852" t="s">
        <v>3212</v>
      </c>
      <c r="B1007" s="1462"/>
      <c r="C1007" s="1456">
        <v>140</v>
      </c>
      <c r="D1007" s="1460"/>
      <c r="E1007" s="1896">
        <v>140</v>
      </c>
      <c r="O1007" s="1541">
        <f t="shared" ref="O1007:R1070" si="28">B1007+I1007</f>
        <v>0</v>
      </c>
      <c r="P1007" s="1541">
        <f t="shared" si="28"/>
        <v>140</v>
      </c>
      <c r="Q1007" s="1541">
        <f t="shared" si="28"/>
        <v>0</v>
      </c>
      <c r="R1007" s="1541">
        <f t="shared" si="27"/>
        <v>140</v>
      </c>
    </row>
    <row r="1008" spans="1:18" x14ac:dyDescent="0.3">
      <c r="A1008" s="1852" t="s">
        <v>3213</v>
      </c>
      <c r="B1008" s="1462"/>
      <c r="C1008" s="1456">
        <v>340</v>
      </c>
      <c r="D1008" s="1456">
        <v>340</v>
      </c>
      <c r="E1008" s="1462"/>
      <c r="O1008" s="1541">
        <f t="shared" si="28"/>
        <v>0</v>
      </c>
      <c r="P1008" s="1541">
        <f t="shared" si="28"/>
        <v>340</v>
      </c>
      <c r="Q1008" s="1541">
        <f t="shared" si="28"/>
        <v>340</v>
      </c>
      <c r="R1008" s="1541">
        <f t="shared" si="27"/>
        <v>0</v>
      </c>
    </row>
    <row r="1009" spans="1:18" x14ac:dyDescent="0.3">
      <c r="A1009" s="1852" t="s">
        <v>3214</v>
      </c>
      <c r="B1009" s="1462"/>
      <c r="C1009" s="1456">
        <v>660</v>
      </c>
      <c r="D1009" s="1456">
        <v>660</v>
      </c>
      <c r="E1009" s="1462"/>
      <c r="O1009" s="1541">
        <f t="shared" si="28"/>
        <v>0</v>
      </c>
      <c r="P1009" s="1541">
        <f t="shared" si="28"/>
        <v>660</v>
      </c>
      <c r="Q1009" s="1541">
        <f t="shared" si="28"/>
        <v>660</v>
      </c>
      <c r="R1009" s="1541">
        <f t="shared" si="27"/>
        <v>0</v>
      </c>
    </row>
    <row r="1010" spans="1:18" x14ac:dyDescent="0.3">
      <c r="A1010" s="1855" t="s">
        <v>3215</v>
      </c>
      <c r="B1010" s="1462"/>
      <c r="C1010" s="1456">
        <v>4360</v>
      </c>
      <c r="D1010" s="1456">
        <v>4360</v>
      </c>
      <c r="E1010" s="1462"/>
      <c r="O1010" s="1541">
        <f t="shared" si="28"/>
        <v>0</v>
      </c>
      <c r="P1010" s="1541">
        <f t="shared" si="28"/>
        <v>4360</v>
      </c>
      <c r="Q1010" s="1541">
        <f t="shared" si="28"/>
        <v>4360</v>
      </c>
      <c r="R1010" s="1541">
        <f t="shared" si="27"/>
        <v>0</v>
      </c>
    </row>
    <row r="1011" spans="1:18" x14ac:dyDescent="0.3">
      <c r="A1011" s="1855" t="s">
        <v>3216</v>
      </c>
      <c r="B1011" s="1462"/>
      <c r="C1011" s="1456">
        <v>1740</v>
      </c>
      <c r="D1011" s="1456">
        <v>790</v>
      </c>
      <c r="E1011" s="1896">
        <v>950</v>
      </c>
      <c r="O1011" s="1541">
        <f t="shared" si="28"/>
        <v>0</v>
      </c>
      <c r="P1011" s="1541">
        <f t="shared" si="28"/>
        <v>1740</v>
      </c>
      <c r="Q1011" s="1541">
        <f t="shared" si="28"/>
        <v>790</v>
      </c>
      <c r="R1011" s="1541">
        <f t="shared" si="27"/>
        <v>950</v>
      </c>
    </row>
    <row r="1012" spans="1:18" x14ac:dyDescent="0.3">
      <c r="A1012" s="1852" t="s">
        <v>3217</v>
      </c>
      <c r="B1012" s="1462"/>
      <c r="C1012" s="1456">
        <v>240</v>
      </c>
      <c r="D1012" s="1456">
        <v>240</v>
      </c>
      <c r="E1012" s="1462"/>
      <c r="O1012" s="1541">
        <f t="shared" si="28"/>
        <v>0</v>
      </c>
      <c r="P1012" s="1541">
        <f t="shared" si="28"/>
        <v>240</v>
      </c>
      <c r="Q1012" s="1541">
        <f t="shared" si="28"/>
        <v>240</v>
      </c>
      <c r="R1012" s="1541">
        <f t="shared" si="27"/>
        <v>0</v>
      </c>
    </row>
    <row r="1013" spans="1:18" x14ac:dyDescent="0.3">
      <c r="A1013" s="1852" t="s">
        <v>3218</v>
      </c>
      <c r="B1013" s="1462"/>
      <c r="C1013" s="1456">
        <v>830</v>
      </c>
      <c r="D1013" s="1456">
        <v>830</v>
      </c>
      <c r="E1013" s="1462"/>
      <c r="O1013" s="1541">
        <f t="shared" si="28"/>
        <v>0</v>
      </c>
      <c r="P1013" s="1541">
        <f t="shared" si="28"/>
        <v>830</v>
      </c>
      <c r="Q1013" s="1541">
        <f t="shared" si="28"/>
        <v>830</v>
      </c>
      <c r="R1013" s="1541">
        <f t="shared" si="27"/>
        <v>0</v>
      </c>
    </row>
    <row r="1014" spans="1:18" x14ac:dyDescent="0.3">
      <c r="A1014" s="1852" t="s">
        <v>3219</v>
      </c>
      <c r="B1014" s="1462"/>
      <c r="C1014" s="1456">
        <v>1200</v>
      </c>
      <c r="D1014" s="1456">
        <v>1200</v>
      </c>
      <c r="E1014" s="1462"/>
      <c r="O1014" s="1541">
        <f t="shared" si="28"/>
        <v>0</v>
      </c>
      <c r="P1014" s="1541">
        <f t="shared" si="28"/>
        <v>1200</v>
      </c>
      <c r="Q1014" s="1541">
        <f t="shared" si="28"/>
        <v>1200</v>
      </c>
      <c r="R1014" s="1541">
        <f t="shared" si="27"/>
        <v>0</v>
      </c>
    </row>
    <row r="1015" spans="1:18" x14ac:dyDescent="0.3">
      <c r="A1015" s="1852" t="s">
        <v>3220</v>
      </c>
      <c r="B1015" s="1462"/>
      <c r="C1015" s="1456">
        <v>200</v>
      </c>
      <c r="D1015" s="1456">
        <v>200</v>
      </c>
      <c r="E1015" s="1462"/>
      <c r="O1015" s="1541">
        <f t="shared" si="28"/>
        <v>0</v>
      </c>
      <c r="P1015" s="1541">
        <f t="shared" si="28"/>
        <v>200</v>
      </c>
      <c r="Q1015" s="1541">
        <f t="shared" si="28"/>
        <v>200</v>
      </c>
      <c r="R1015" s="1541">
        <f t="shared" si="27"/>
        <v>0</v>
      </c>
    </row>
    <row r="1016" spans="1:18" x14ac:dyDescent="0.3">
      <c r="A1016" s="1852" t="s">
        <v>3221</v>
      </c>
      <c r="B1016" s="1462"/>
      <c r="C1016" s="1456">
        <v>640</v>
      </c>
      <c r="D1016" s="1456">
        <v>640</v>
      </c>
      <c r="E1016" s="1462"/>
      <c r="O1016" s="1541">
        <f t="shared" si="28"/>
        <v>0</v>
      </c>
      <c r="P1016" s="1541">
        <f t="shared" si="28"/>
        <v>640</v>
      </c>
      <c r="Q1016" s="1541">
        <f t="shared" si="28"/>
        <v>640</v>
      </c>
      <c r="R1016" s="1541">
        <f t="shared" si="27"/>
        <v>0</v>
      </c>
    </row>
    <row r="1017" spans="1:18" x14ac:dyDescent="0.3">
      <c r="A1017" s="1852" t="s">
        <v>3222</v>
      </c>
      <c r="B1017" s="1462"/>
      <c r="C1017" s="1456">
        <v>155760</v>
      </c>
      <c r="D1017" s="1456">
        <v>129360</v>
      </c>
      <c r="E1017" s="1896">
        <v>26400</v>
      </c>
      <c r="O1017" s="1541">
        <f t="shared" si="28"/>
        <v>0</v>
      </c>
      <c r="P1017" s="1541">
        <f t="shared" si="28"/>
        <v>155760</v>
      </c>
      <c r="Q1017" s="1541">
        <f t="shared" si="28"/>
        <v>129360</v>
      </c>
      <c r="R1017" s="1541">
        <f t="shared" si="27"/>
        <v>26400</v>
      </c>
    </row>
    <row r="1018" spans="1:18" x14ac:dyDescent="0.3">
      <c r="A1018" s="1852" t="s">
        <v>3223</v>
      </c>
      <c r="B1018" s="1462"/>
      <c r="C1018" s="1456">
        <v>2240</v>
      </c>
      <c r="D1018" s="1456">
        <v>2240</v>
      </c>
      <c r="E1018" s="1462"/>
      <c r="O1018" s="1541">
        <f t="shared" si="28"/>
        <v>0</v>
      </c>
      <c r="P1018" s="1541">
        <f t="shared" si="28"/>
        <v>2240</v>
      </c>
      <c r="Q1018" s="1541">
        <f t="shared" si="28"/>
        <v>2240</v>
      </c>
      <c r="R1018" s="1541">
        <f t="shared" si="27"/>
        <v>0</v>
      </c>
    </row>
    <row r="1019" spans="1:18" x14ac:dyDescent="0.3">
      <c r="A1019" s="1852" t="s">
        <v>3224</v>
      </c>
      <c r="B1019" s="1462"/>
      <c r="C1019" s="1456">
        <v>2038</v>
      </c>
      <c r="D1019" s="1456">
        <v>2038</v>
      </c>
      <c r="E1019" s="1462"/>
      <c r="O1019" s="1541">
        <f t="shared" si="28"/>
        <v>0</v>
      </c>
      <c r="P1019" s="1541">
        <f t="shared" si="28"/>
        <v>2038</v>
      </c>
      <c r="Q1019" s="1541">
        <f t="shared" si="28"/>
        <v>2038</v>
      </c>
      <c r="R1019" s="1541">
        <f t="shared" si="27"/>
        <v>0</v>
      </c>
    </row>
    <row r="1020" spans="1:18" x14ac:dyDescent="0.3">
      <c r="A1020" s="1852" t="s">
        <v>3225</v>
      </c>
      <c r="B1020" s="1462"/>
      <c r="C1020" s="1456">
        <v>992</v>
      </c>
      <c r="D1020" s="1456">
        <v>992</v>
      </c>
      <c r="E1020" s="1462"/>
      <c r="O1020" s="1541">
        <f t="shared" si="28"/>
        <v>0</v>
      </c>
      <c r="P1020" s="1541">
        <f t="shared" si="28"/>
        <v>992</v>
      </c>
      <c r="Q1020" s="1541">
        <f t="shared" si="28"/>
        <v>992</v>
      </c>
      <c r="R1020" s="1541">
        <f t="shared" si="27"/>
        <v>0</v>
      </c>
    </row>
    <row r="1021" spans="1:18" x14ac:dyDescent="0.3">
      <c r="A1021" s="1852" t="s">
        <v>3226</v>
      </c>
      <c r="B1021" s="1462"/>
      <c r="C1021" s="1456">
        <v>140</v>
      </c>
      <c r="D1021" s="1456">
        <v>140</v>
      </c>
      <c r="E1021" s="1462"/>
      <c r="O1021" s="1541">
        <f t="shared" si="28"/>
        <v>0</v>
      </c>
      <c r="P1021" s="1541">
        <f t="shared" si="28"/>
        <v>140</v>
      </c>
      <c r="Q1021" s="1541">
        <f t="shared" si="28"/>
        <v>140</v>
      </c>
      <c r="R1021" s="1541">
        <f t="shared" si="27"/>
        <v>0</v>
      </c>
    </row>
    <row r="1022" spans="1:18" x14ac:dyDescent="0.3">
      <c r="A1022" s="1852" t="s">
        <v>3227</v>
      </c>
      <c r="B1022" s="1462"/>
      <c r="C1022" s="1456">
        <v>4440</v>
      </c>
      <c r="D1022" s="1456">
        <v>4440</v>
      </c>
      <c r="E1022" s="1462"/>
      <c r="O1022" s="1541">
        <f t="shared" si="28"/>
        <v>0</v>
      </c>
      <c r="P1022" s="1541">
        <f t="shared" si="28"/>
        <v>4440</v>
      </c>
      <c r="Q1022" s="1541">
        <f t="shared" si="28"/>
        <v>4440</v>
      </c>
      <c r="R1022" s="1541">
        <f t="shared" si="27"/>
        <v>0</v>
      </c>
    </row>
    <row r="1023" spans="1:18" x14ac:dyDescent="0.3">
      <c r="A1023" s="1855" t="s">
        <v>3228</v>
      </c>
      <c r="B1023" s="1462"/>
      <c r="C1023" s="1456">
        <v>130150</v>
      </c>
      <c r="D1023" s="1456">
        <v>130150</v>
      </c>
      <c r="E1023" s="1462"/>
      <c r="O1023" s="1541">
        <f t="shared" si="28"/>
        <v>0</v>
      </c>
      <c r="P1023" s="1541">
        <f t="shared" si="28"/>
        <v>130150</v>
      </c>
      <c r="Q1023" s="1541">
        <f t="shared" si="28"/>
        <v>130150</v>
      </c>
      <c r="R1023" s="1541">
        <f t="shared" si="27"/>
        <v>0</v>
      </c>
    </row>
    <row r="1024" spans="1:18" x14ac:dyDescent="0.3">
      <c r="A1024" s="1852" t="s">
        <v>3229</v>
      </c>
      <c r="B1024" s="1462"/>
      <c r="C1024" s="1456">
        <v>837</v>
      </c>
      <c r="D1024" s="1456">
        <v>837</v>
      </c>
      <c r="E1024" s="1462"/>
      <c r="O1024" s="1541">
        <f t="shared" si="28"/>
        <v>0</v>
      </c>
      <c r="P1024" s="1541">
        <f t="shared" si="28"/>
        <v>837</v>
      </c>
      <c r="Q1024" s="1541">
        <f t="shared" si="28"/>
        <v>837</v>
      </c>
      <c r="R1024" s="1541">
        <f t="shared" si="27"/>
        <v>0</v>
      </c>
    </row>
    <row r="1025" spans="1:18" x14ac:dyDescent="0.3">
      <c r="A1025" s="1852" t="s">
        <v>3230</v>
      </c>
      <c r="B1025" s="1462"/>
      <c r="C1025" s="1456">
        <v>1854</v>
      </c>
      <c r="D1025" s="1456">
        <v>1854</v>
      </c>
      <c r="E1025" s="1462"/>
      <c r="O1025" s="1541">
        <f t="shared" si="28"/>
        <v>0</v>
      </c>
      <c r="P1025" s="1541">
        <f t="shared" si="28"/>
        <v>1854</v>
      </c>
      <c r="Q1025" s="1541">
        <f t="shared" si="28"/>
        <v>1854</v>
      </c>
      <c r="R1025" s="1541">
        <f t="shared" si="27"/>
        <v>0</v>
      </c>
    </row>
    <row r="1026" spans="1:18" x14ac:dyDescent="0.3">
      <c r="A1026" s="1852" t="s">
        <v>3231</v>
      </c>
      <c r="B1026" s="1462"/>
      <c r="C1026" s="1456">
        <v>7100</v>
      </c>
      <c r="D1026" s="1456">
        <v>7100</v>
      </c>
      <c r="E1026" s="1462"/>
      <c r="O1026" s="1541">
        <f t="shared" si="28"/>
        <v>0</v>
      </c>
      <c r="P1026" s="1541">
        <f t="shared" si="28"/>
        <v>7100</v>
      </c>
      <c r="Q1026" s="1541">
        <f t="shared" si="28"/>
        <v>7100</v>
      </c>
      <c r="R1026" s="1541">
        <f t="shared" si="27"/>
        <v>0</v>
      </c>
    </row>
    <row r="1027" spans="1:18" x14ac:dyDescent="0.3">
      <c r="A1027" s="1852" t="s">
        <v>3232</v>
      </c>
      <c r="B1027" s="1462"/>
      <c r="C1027" s="1456">
        <v>420</v>
      </c>
      <c r="D1027" s="1456">
        <v>420</v>
      </c>
      <c r="E1027" s="1462"/>
      <c r="O1027" s="1541">
        <f t="shared" si="28"/>
        <v>0</v>
      </c>
      <c r="P1027" s="1541">
        <f t="shared" si="28"/>
        <v>420</v>
      </c>
      <c r="Q1027" s="1541">
        <f t="shared" si="28"/>
        <v>420</v>
      </c>
      <c r="R1027" s="1541">
        <f t="shared" si="27"/>
        <v>0</v>
      </c>
    </row>
    <row r="1028" spans="1:18" x14ac:dyDescent="0.3">
      <c r="A1028" s="1852" t="s">
        <v>3233</v>
      </c>
      <c r="B1028" s="1462"/>
      <c r="C1028" s="1456">
        <v>1660</v>
      </c>
      <c r="D1028" s="1456">
        <v>1660</v>
      </c>
      <c r="E1028" s="1462"/>
      <c r="O1028" s="1541">
        <f t="shared" si="28"/>
        <v>0</v>
      </c>
      <c r="P1028" s="1541">
        <f t="shared" si="28"/>
        <v>1660</v>
      </c>
      <c r="Q1028" s="1541">
        <f t="shared" si="28"/>
        <v>1660</v>
      </c>
      <c r="R1028" s="1541">
        <f t="shared" si="27"/>
        <v>0</v>
      </c>
    </row>
    <row r="1029" spans="1:18" x14ac:dyDescent="0.3">
      <c r="A1029" s="1852" t="s">
        <v>3234</v>
      </c>
      <c r="B1029" s="1462"/>
      <c r="C1029" s="1456">
        <v>912</v>
      </c>
      <c r="D1029" s="1456">
        <v>912</v>
      </c>
      <c r="E1029" s="1462"/>
      <c r="O1029" s="1541">
        <f t="shared" si="28"/>
        <v>0</v>
      </c>
      <c r="P1029" s="1541">
        <f t="shared" si="28"/>
        <v>912</v>
      </c>
      <c r="Q1029" s="1541">
        <f t="shared" si="28"/>
        <v>912</v>
      </c>
      <c r="R1029" s="1541">
        <f t="shared" si="27"/>
        <v>0</v>
      </c>
    </row>
    <row r="1030" spans="1:18" x14ac:dyDescent="0.3">
      <c r="A1030" s="1852" t="s">
        <v>3235</v>
      </c>
      <c r="B1030" s="1462"/>
      <c r="C1030" s="1456">
        <v>15710</v>
      </c>
      <c r="D1030" s="1456">
        <v>22310</v>
      </c>
      <c r="E1030" s="1471">
        <v>-6600</v>
      </c>
      <c r="O1030" s="1541">
        <f t="shared" si="28"/>
        <v>0</v>
      </c>
      <c r="P1030" s="1541">
        <f t="shared" si="28"/>
        <v>15710</v>
      </c>
      <c r="Q1030" s="1541">
        <f t="shared" si="28"/>
        <v>22310</v>
      </c>
      <c r="R1030" s="1541">
        <f t="shared" si="27"/>
        <v>-6600</v>
      </c>
    </row>
    <row r="1031" spans="1:18" x14ac:dyDescent="0.3">
      <c r="A1031" s="1855" t="s">
        <v>3236</v>
      </c>
      <c r="B1031" s="1462"/>
      <c r="C1031" s="1456">
        <v>37305.019999999997</v>
      </c>
      <c r="D1031" s="1456">
        <v>37305.019999999997</v>
      </c>
      <c r="E1031" s="1462"/>
      <c r="O1031" s="1541">
        <f t="shared" si="28"/>
        <v>0</v>
      </c>
      <c r="P1031" s="1541">
        <f t="shared" si="28"/>
        <v>37305.019999999997</v>
      </c>
      <c r="Q1031" s="1541">
        <f t="shared" si="28"/>
        <v>37305.019999999997</v>
      </c>
      <c r="R1031" s="1541">
        <f t="shared" si="27"/>
        <v>0</v>
      </c>
    </row>
    <row r="1032" spans="1:18" x14ac:dyDescent="0.3">
      <c r="A1032" s="1855" t="s">
        <v>3237</v>
      </c>
      <c r="B1032" s="1462"/>
      <c r="C1032" s="1456">
        <v>2015</v>
      </c>
      <c r="D1032" s="1456">
        <v>2015</v>
      </c>
      <c r="E1032" s="1462"/>
      <c r="O1032" s="1541">
        <f t="shared" si="28"/>
        <v>0</v>
      </c>
      <c r="P1032" s="1541">
        <f t="shared" si="28"/>
        <v>2015</v>
      </c>
      <c r="Q1032" s="1541">
        <f t="shared" si="28"/>
        <v>2015</v>
      </c>
      <c r="R1032" s="1541">
        <f t="shared" si="27"/>
        <v>0</v>
      </c>
    </row>
    <row r="1033" spans="1:18" x14ac:dyDescent="0.3">
      <c r="A1033" s="1852" t="s">
        <v>3238</v>
      </c>
      <c r="B1033" s="1462"/>
      <c r="C1033" s="1456">
        <v>2563</v>
      </c>
      <c r="D1033" s="1456">
        <v>2563</v>
      </c>
      <c r="E1033" s="1462"/>
      <c r="O1033" s="1541">
        <f t="shared" si="28"/>
        <v>0</v>
      </c>
      <c r="P1033" s="1541">
        <f t="shared" si="28"/>
        <v>2563</v>
      </c>
      <c r="Q1033" s="1541">
        <f t="shared" si="28"/>
        <v>2563</v>
      </c>
      <c r="R1033" s="1541">
        <f t="shared" si="27"/>
        <v>0</v>
      </c>
    </row>
    <row r="1034" spans="1:18" x14ac:dyDescent="0.3">
      <c r="A1034" s="1855" t="s">
        <v>3239</v>
      </c>
      <c r="B1034" s="1462"/>
      <c r="C1034" s="1456">
        <v>12700</v>
      </c>
      <c r="D1034" s="1456">
        <v>12700</v>
      </c>
      <c r="E1034" s="1462"/>
      <c r="O1034" s="1541">
        <f t="shared" si="28"/>
        <v>0</v>
      </c>
      <c r="P1034" s="1541">
        <f t="shared" si="28"/>
        <v>12700</v>
      </c>
      <c r="Q1034" s="1541">
        <f t="shared" si="28"/>
        <v>12700</v>
      </c>
      <c r="R1034" s="1541">
        <f t="shared" si="27"/>
        <v>0</v>
      </c>
    </row>
    <row r="1035" spans="1:18" x14ac:dyDescent="0.3">
      <c r="A1035" s="1852" t="s">
        <v>3240</v>
      </c>
      <c r="B1035" s="1462"/>
      <c r="C1035" s="1456">
        <v>15418</v>
      </c>
      <c r="D1035" s="1456">
        <v>15428</v>
      </c>
      <c r="E1035" s="1471">
        <v>-10</v>
      </c>
      <c r="O1035" s="1541">
        <f t="shared" si="28"/>
        <v>0</v>
      </c>
      <c r="P1035" s="1541">
        <f t="shared" si="28"/>
        <v>15418</v>
      </c>
      <c r="Q1035" s="1541">
        <f t="shared" si="28"/>
        <v>15428</v>
      </c>
      <c r="R1035" s="1541">
        <f t="shared" si="27"/>
        <v>-10</v>
      </c>
    </row>
    <row r="1036" spans="1:18" x14ac:dyDescent="0.3">
      <c r="A1036" s="1855" t="s">
        <v>3241</v>
      </c>
      <c r="B1036" s="1462"/>
      <c r="C1036" s="1456">
        <v>1490</v>
      </c>
      <c r="D1036" s="1456">
        <v>1490</v>
      </c>
      <c r="E1036" s="1462"/>
      <c r="O1036" s="1541">
        <f t="shared" si="28"/>
        <v>0</v>
      </c>
      <c r="P1036" s="1541">
        <f t="shared" si="28"/>
        <v>1490</v>
      </c>
      <c r="Q1036" s="1541">
        <f t="shared" si="28"/>
        <v>1490</v>
      </c>
      <c r="R1036" s="1541">
        <f t="shared" si="27"/>
        <v>0</v>
      </c>
    </row>
    <row r="1037" spans="1:18" x14ac:dyDescent="0.3">
      <c r="A1037" s="1855" t="s">
        <v>3242</v>
      </c>
      <c r="B1037" s="1462"/>
      <c r="C1037" s="1456">
        <v>194389</v>
      </c>
      <c r="D1037" s="1456">
        <v>194389</v>
      </c>
      <c r="E1037" s="1462"/>
      <c r="O1037" s="1541">
        <f t="shared" si="28"/>
        <v>0</v>
      </c>
      <c r="P1037" s="1541">
        <f t="shared" si="28"/>
        <v>194389</v>
      </c>
      <c r="Q1037" s="1541">
        <f t="shared" si="28"/>
        <v>194389</v>
      </c>
      <c r="R1037" s="1541">
        <f t="shared" si="27"/>
        <v>0</v>
      </c>
    </row>
    <row r="1038" spans="1:18" x14ac:dyDescent="0.3">
      <c r="A1038" s="1852" t="s">
        <v>3243</v>
      </c>
      <c r="B1038" s="1462"/>
      <c r="C1038" s="1456">
        <v>370</v>
      </c>
      <c r="D1038" s="1456">
        <v>370</v>
      </c>
      <c r="E1038" s="1462"/>
      <c r="O1038" s="1541">
        <f t="shared" si="28"/>
        <v>0</v>
      </c>
      <c r="P1038" s="1541">
        <f t="shared" si="28"/>
        <v>370</v>
      </c>
      <c r="Q1038" s="1541">
        <f t="shared" si="28"/>
        <v>370</v>
      </c>
      <c r="R1038" s="1541">
        <f t="shared" si="27"/>
        <v>0</v>
      </c>
    </row>
    <row r="1039" spans="1:18" x14ac:dyDescent="0.3">
      <c r="A1039" s="1852" t="s">
        <v>3244</v>
      </c>
      <c r="B1039" s="1462"/>
      <c r="C1039" s="1456">
        <v>1132</v>
      </c>
      <c r="D1039" s="1456">
        <v>1132</v>
      </c>
      <c r="E1039" s="1462"/>
      <c r="O1039" s="1541">
        <f t="shared" si="28"/>
        <v>0</v>
      </c>
      <c r="P1039" s="1541">
        <f t="shared" si="28"/>
        <v>1132</v>
      </c>
      <c r="Q1039" s="1541">
        <f t="shared" si="28"/>
        <v>1132</v>
      </c>
      <c r="R1039" s="1541">
        <f t="shared" si="27"/>
        <v>0</v>
      </c>
    </row>
    <row r="1040" spans="1:18" x14ac:dyDescent="0.3">
      <c r="A1040" s="1852" t="s">
        <v>3245</v>
      </c>
      <c r="B1040" s="1462"/>
      <c r="C1040" s="1456">
        <v>1452</v>
      </c>
      <c r="D1040" s="1456">
        <v>1452</v>
      </c>
      <c r="E1040" s="1462"/>
      <c r="O1040" s="1541">
        <f t="shared" si="28"/>
        <v>0</v>
      </c>
      <c r="P1040" s="1541">
        <f t="shared" si="28"/>
        <v>1452</v>
      </c>
      <c r="Q1040" s="1541">
        <f t="shared" si="28"/>
        <v>1452</v>
      </c>
      <c r="R1040" s="1541">
        <f t="shared" si="27"/>
        <v>0</v>
      </c>
    </row>
    <row r="1041" spans="1:18" x14ac:dyDescent="0.3">
      <c r="A1041" s="1855" t="s">
        <v>3246</v>
      </c>
      <c r="B1041" s="1462"/>
      <c r="C1041" s="1456">
        <v>830</v>
      </c>
      <c r="D1041" s="1456">
        <v>830</v>
      </c>
      <c r="E1041" s="1462"/>
      <c r="O1041" s="1541">
        <f t="shared" si="28"/>
        <v>0</v>
      </c>
      <c r="P1041" s="1541">
        <f t="shared" si="28"/>
        <v>830</v>
      </c>
      <c r="Q1041" s="1541">
        <f t="shared" si="28"/>
        <v>830</v>
      </c>
      <c r="R1041" s="1541">
        <f t="shared" si="27"/>
        <v>0</v>
      </c>
    </row>
    <row r="1042" spans="1:18" x14ac:dyDescent="0.3">
      <c r="A1042" s="1852" t="s">
        <v>3247</v>
      </c>
      <c r="B1042" s="1462"/>
      <c r="C1042" s="1456">
        <v>9596.01</v>
      </c>
      <c r="D1042" s="1456">
        <v>9808</v>
      </c>
      <c r="E1042" s="1471">
        <v>-211.99</v>
      </c>
      <c r="O1042" s="1541">
        <f t="shared" si="28"/>
        <v>0</v>
      </c>
      <c r="P1042" s="1541">
        <f t="shared" si="28"/>
        <v>9596.01</v>
      </c>
      <c r="Q1042" s="1541">
        <f t="shared" si="28"/>
        <v>9808</v>
      </c>
      <c r="R1042" s="1541">
        <f t="shared" si="27"/>
        <v>-211.99</v>
      </c>
    </row>
    <row r="1043" spans="1:18" x14ac:dyDescent="0.3">
      <c r="A1043" s="1852" t="s">
        <v>3248</v>
      </c>
      <c r="B1043" s="1462"/>
      <c r="C1043" s="1456">
        <v>280</v>
      </c>
      <c r="D1043" s="1456">
        <v>280</v>
      </c>
      <c r="E1043" s="1462"/>
      <c r="O1043" s="1541">
        <f t="shared" si="28"/>
        <v>0</v>
      </c>
      <c r="P1043" s="1541">
        <f t="shared" si="28"/>
        <v>280</v>
      </c>
      <c r="Q1043" s="1541">
        <f t="shared" si="28"/>
        <v>280</v>
      </c>
      <c r="R1043" s="1541">
        <f t="shared" si="27"/>
        <v>0</v>
      </c>
    </row>
    <row r="1044" spans="1:18" x14ac:dyDescent="0.3">
      <c r="A1044" s="1852" t="s">
        <v>3249</v>
      </c>
      <c r="B1044" s="1462"/>
      <c r="C1044" s="1456">
        <v>4125</v>
      </c>
      <c r="D1044" s="1456">
        <v>4125</v>
      </c>
      <c r="E1044" s="1462"/>
      <c r="O1044" s="1541">
        <f t="shared" si="28"/>
        <v>0</v>
      </c>
      <c r="P1044" s="1541">
        <f t="shared" si="28"/>
        <v>4125</v>
      </c>
      <c r="Q1044" s="1541">
        <f t="shared" si="28"/>
        <v>4125</v>
      </c>
      <c r="R1044" s="1541">
        <f t="shared" si="27"/>
        <v>0</v>
      </c>
    </row>
    <row r="1045" spans="1:18" x14ac:dyDescent="0.3">
      <c r="A1045" s="1852" t="s">
        <v>3250</v>
      </c>
      <c r="B1045" s="1462"/>
      <c r="C1045" s="1456">
        <v>830</v>
      </c>
      <c r="D1045" s="1456">
        <v>830</v>
      </c>
      <c r="E1045" s="1462"/>
      <c r="O1045" s="1541">
        <f t="shared" si="28"/>
        <v>0</v>
      </c>
      <c r="P1045" s="1541">
        <f t="shared" si="28"/>
        <v>830</v>
      </c>
      <c r="Q1045" s="1541">
        <f t="shared" si="28"/>
        <v>830</v>
      </c>
      <c r="R1045" s="1541">
        <f t="shared" si="27"/>
        <v>0</v>
      </c>
    </row>
    <row r="1046" spans="1:18" x14ac:dyDescent="0.3">
      <c r="A1046" s="1855" t="s">
        <v>3251</v>
      </c>
      <c r="B1046" s="1462"/>
      <c r="C1046" s="1456">
        <v>9978</v>
      </c>
      <c r="D1046" s="1456">
        <v>9978</v>
      </c>
      <c r="E1046" s="1462"/>
      <c r="O1046" s="1541">
        <f t="shared" si="28"/>
        <v>0</v>
      </c>
      <c r="P1046" s="1541">
        <f t="shared" si="28"/>
        <v>9978</v>
      </c>
      <c r="Q1046" s="1541">
        <f t="shared" si="28"/>
        <v>9978</v>
      </c>
      <c r="R1046" s="1541">
        <f t="shared" si="27"/>
        <v>0</v>
      </c>
    </row>
    <row r="1047" spans="1:18" x14ac:dyDescent="0.3">
      <c r="A1047" s="1855" t="s">
        <v>3252</v>
      </c>
      <c r="B1047" s="1462"/>
      <c r="C1047" s="1456">
        <v>11410</v>
      </c>
      <c r="D1047" s="1456">
        <v>11410</v>
      </c>
      <c r="E1047" s="1462"/>
      <c r="O1047" s="1541">
        <f t="shared" si="28"/>
        <v>0</v>
      </c>
      <c r="P1047" s="1541">
        <f t="shared" si="28"/>
        <v>11410</v>
      </c>
      <c r="Q1047" s="1541">
        <f t="shared" si="28"/>
        <v>11410</v>
      </c>
      <c r="R1047" s="1541">
        <f t="shared" si="27"/>
        <v>0</v>
      </c>
    </row>
    <row r="1048" spans="1:18" x14ac:dyDescent="0.3">
      <c r="A1048" s="1855" t="s">
        <v>3253</v>
      </c>
      <c r="B1048" s="1462"/>
      <c r="C1048" s="1456">
        <v>1870</v>
      </c>
      <c r="D1048" s="1456">
        <v>1870</v>
      </c>
      <c r="E1048" s="1462"/>
      <c r="O1048" s="1541">
        <f t="shared" si="28"/>
        <v>0</v>
      </c>
      <c r="P1048" s="1541">
        <f t="shared" si="28"/>
        <v>1870</v>
      </c>
      <c r="Q1048" s="1541">
        <f t="shared" si="28"/>
        <v>1870</v>
      </c>
      <c r="R1048" s="1541">
        <f t="shared" si="27"/>
        <v>0</v>
      </c>
    </row>
    <row r="1049" spans="1:18" x14ac:dyDescent="0.3">
      <c r="A1049" s="1855" t="s">
        <v>3254</v>
      </c>
      <c r="B1049" s="1462"/>
      <c r="C1049" s="1456">
        <v>17954</v>
      </c>
      <c r="D1049" s="1456">
        <v>17954</v>
      </c>
      <c r="E1049" s="1462"/>
      <c r="O1049" s="1541">
        <f t="shared" si="28"/>
        <v>0</v>
      </c>
      <c r="P1049" s="1541">
        <f t="shared" si="28"/>
        <v>17954</v>
      </c>
      <c r="Q1049" s="1541">
        <f t="shared" si="28"/>
        <v>17954</v>
      </c>
      <c r="R1049" s="1541">
        <f t="shared" si="27"/>
        <v>0</v>
      </c>
    </row>
    <row r="1050" spans="1:18" x14ac:dyDescent="0.3">
      <c r="A1050" s="1852" t="s">
        <v>3255</v>
      </c>
      <c r="B1050" s="1462"/>
      <c r="C1050" s="1456">
        <v>3252</v>
      </c>
      <c r="D1050" s="1456">
        <v>3252</v>
      </c>
      <c r="E1050" s="1462"/>
      <c r="O1050" s="1541">
        <f t="shared" si="28"/>
        <v>0</v>
      </c>
      <c r="P1050" s="1541">
        <f t="shared" si="28"/>
        <v>3252</v>
      </c>
      <c r="Q1050" s="1541">
        <f t="shared" si="28"/>
        <v>3252</v>
      </c>
      <c r="R1050" s="1541">
        <f t="shared" si="27"/>
        <v>0</v>
      </c>
    </row>
    <row r="1051" spans="1:18" x14ac:dyDescent="0.3">
      <c r="A1051" s="1852" t="s">
        <v>3256</v>
      </c>
      <c r="B1051" s="1462"/>
      <c r="C1051" s="1456">
        <v>140</v>
      </c>
      <c r="D1051" s="1456">
        <v>140</v>
      </c>
      <c r="E1051" s="1462"/>
      <c r="O1051" s="1541">
        <f t="shared" si="28"/>
        <v>0</v>
      </c>
      <c r="P1051" s="1541">
        <f t="shared" si="28"/>
        <v>140</v>
      </c>
      <c r="Q1051" s="1541">
        <f t="shared" si="28"/>
        <v>140</v>
      </c>
      <c r="R1051" s="1541">
        <f t="shared" si="27"/>
        <v>0</v>
      </c>
    </row>
    <row r="1052" spans="1:18" x14ac:dyDescent="0.3">
      <c r="A1052" s="1855" t="s">
        <v>3257</v>
      </c>
      <c r="B1052" s="1462"/>
      <c r="C1052" s="1456">
        <v>2453</v>
      </c>
      <c r="D1052" s="1456">
        <v>2453</v>
      </c>
      <c r="E1052" s="1462"/>
      <c r="O1052" s="1541">
        <f t="shared" si="28"/>
        <v>0</v>
      </c>
      <c r="P1052" s="1541">
        <f t="shared" si="28"/>
        <v>2453</v>
      </c>
      <c r="Q1052" s="1541">
        <f t="shared" si="28"/>
        <v>2453</v>
      </c>
      <c r="R1052" s="1541">
        <f t="shared" si="27"/>
        <v>0</v>
      </c>
    </row>
    <row r="1053" spans="1:18" x14ac:dyDescent="0.3">
      <c r="A1053" s="1852" t="s">
        <v>3258</v>
      </c>
      <c r="B1053" s="1462"/>
      <c r="C1053" s="1456">
        <v>166</v>
      </c>
      <c r="D1053" s="1456">
        <v>166</v>
      </c>
      <c r="E1053" s="1462"/>
      <c r="O1053" s="1541">
        <f t="shared" si="28"/>
        <v>0</v>
      </c>
      <c r="P1053" s="1541">
        <f t="shared" si="28"/>
        <v>166</v>
      </c>
      <c r="Q1053" s="1541">
        <f t="shared" si="28"/>
        <v>166</v>
      </c>
      <c r="R1053" s="1541">
        <f t="shared" si="27"/>
        <v>0</v>
      </c>
    </row>
    <row r="1054" spans="1:18" x14ac:dyDescent="0.3">
      <c r="A1054" s="1852" t="s">
        <v>3259</v>
      </c>
      <c r="B1054" s="1462"/>
      <c r="C1054" s="1456">
        <v>3172</v>
      </c>
      <c r="D1054" s="1456">
        <v>3172</v>
      </c>
      <c r="E1054" s="1462"/>
      <c r="O1054" s="1541">
        <f t="shared" si="28"/>
        <v>0</v>
      </c>
      <c r="P1054" s="1541">
        <f t="shared" si="28"/>
        <v>3172</v>
      </c>
      <c r="Q1054" s="1541">
        <f t="shared" si="28"/>
        <v>3172</v>
      </c>
      <c r="R1054" s="1541">
        <f t="shared" si="27"/>
        <v>0</v>
      </c>
    </row>
    <row r="1055" spans="1:18" x14ac:dyDescent="0.3">
      <c r="A1055" s="1852" t="s">
        <v>3260</v>
      </c>
      <c r="B1055" s="1462"/>
      <c r="C1055" s="1456">
        <v>5785</v>
      </c>
      <c r="D1055" s="1456">
        <v>5785</v>
      </c>
      <c r="E1055" s="1462"/>
      <c r="O1055" s="1541">
        <f t="shared" si="28"/>
        <v>0</v>
      </c>
      <c r="P1055" s="1541">
        <f t="shared" si="28"/>
        <v>5785</v>
      </c>
      <c r="Q1055" s="1541">
        <f t="shared" si="28"/>
        <v>5785</v>
      </c>
      <c r="R1055" s="1541">
        <f t="shared" si="27"/>
        <v>0</v>
      </c>
    </row>
    <row r="1056" spans="1:18" x14ac:dyDescent="0.3">
      <c r="A1056" s="1852" t="s">
        <v>3261</v>
      </c>
      <c r="B1056" s="1462"/>
      <c r="C1056" s="1456">
        <v>380</v>
      </c>
      <c r="D1056" s="1456">
        <v>380</v>
      </c>
      <c r="E1056" s="1462"/>
      <c r="O1056" s="1541">
        <f t="shared" si="28"/>
        <v>0</v>
      </c>
      <c r="P1056" s="1541">
        <f t="shared" si="28"/>
        <v>380</v>
      </c>
      <c r="Q1056" s="1541">
        <f t="shared" si="28"/>
        <v>380</v>
      </c>
      <c r="R1056" s="1541">
        <f t="shared" si="27"/>
        <v>0</v>
      </c>
    </row>
    <row r="1057" spans="1:18" x14ac:dyDescent="0.3">
      <c r="A1057" s="1852" t="s">
        <v>3262</v>
      </c>
      <c r="B1057" s="1462"/>
      <c r="C1057" s="1456">
        <v>3040</v>
      </c>
      <c r="D1057" s="1456">
        <v>3040</v>
      </c>
      <c r="E1057" s="1462"/>
      <c r="O1057" s="1541">
        <f t="shared" si="28"/>
        <v>0</v>
      </c>
      <c r="P1057" s="1541">
        <f t="shared" si="28"/>
        <v>3040</v>
      </c>
      <c r="Q1057" s="1541">
        <f t="shared" si="28"/>
        <v>3040</v>
      </c>
      <c r="R1057" s="1541">
        <f t="shared" si="27"/>
        <v>0</v>
      </c>
    </row>
    <row r="1058" spans="1:18" x14ac:dyDescent="0.3">
      <c r="A1058" s="1855" t="s">
        <v>3263</v>
      </c>
      <c r="B1058" s="1462"/>
      <c r="C1058" s="1456">
        <v>306</v>
      </c>
      <c r="D1058" s="1456">
        <v>306</v>
      </c>
      <c r="E1058" s="1462"/>
      <c r="O1058" s="1541">
        <f t="shared" si="28"/>
        <v>0</v>
      </c>
      <c r="P1058" s="1541">
        <f t="shared" si="28"/>
        <v>306</v>
      </c>
      <c r="Q1058" s="1541">
        <f t="shared" si="28"/>
        <v>306</v>
      </c>
      <c r="R1058" s="1541">
        <f t="shared" si="27"/>
        <v>0</v>
      </c>
    </row>
    <row r="1059" spans="1:18" x14ac:dyDescent="0.3">
      <c r="A1059" s="1855" t="s">
        <v>3264</v>
      </c>
      <c r="B1059" s="1462"/>
      <c r="C1059" s="1456">
        <v>2190</v>
      </c>
      <c r="D1059" s="1456">
        <v>2190</v>
      </c>
      <c r="E1059" s="1462"/>
      <c r="O1059" s="1541">
        <f t="shared" si="28"/>
        <v>0</v>
      </c>
      <c r="P1059" s="1541">
        <f t="shared" si="28"/>
        <v>2190</v>
      </c>
      <c r="Q1059" s="1541">
        <f t="shared" si="28"/>
        <v>2190</v>
      </c>
      <c r="R1059" s="1541">
        <f t="shared" si="27"/>
        <v>0</v>
      </c>
    </row>
    <row r="1060" spans="1:18" x14ac:dyDescent="0.3">
      <c r="A1060" s="1852" t="s">
        <v>3265</v>
      </c>
      <c r="B1060" s="1462"/>
      <c r="C1060" s="1456">
        <v>1742</v>
      </c>
      <c r="D1060" s="1456">
        <v>1742</v>
      </c>
      <c r="E1060" s="1462"/>
      <c r="O1060" s="1541">
        <f t="shared" si="28"/>
        <v>0</v>
      </c>
      <c r="P1060" s="1541">
        <f t="shared" si="28"/>
        <v>1742</v>
      </c>
      <c r="Q1060" s="1541">
        <f t="shared" si="28"/>
        <v>1742</v>
      </c>
      <c r="R1060" s="1541">
        <f t="shared" si="27"/>
        <v>0</v>
      </c>
    </row>
    <row r="1061" spans="1:18" x14ac:dyDescent="0.3">
      <c r="A1061" s="1852" t="s">
        <v>3266</v>
      </c>
      <c r="B1061" s="1462"/>
      <c r="C1061" s="1456">
        <v>600</v>
      </c>
      <c r="D1061" s="1456">
        <v>600</v>
      </c>
      <c r="E1061" s="1462"/>
      <c r="O1061" s="1541">
        <f t="shared" si="28"/>
        <v>0</v>
      </c>
      <c r="P1061" s="1541">
        <f t="shared" si="28"/>
        <v>600</v>
      </c>
      <c r="Q1061" s="1541">
        <f t="shared" si="28"/>
        <v>600</v>
      </c>
      <c r="R1061" s="1541">
        <f t="shared" si="27"/>
        <v>0</v>
      </c>
    </row>
    <row r="1062" spans="1:18" x14ac:dyDescent="0.3">
      <c r="A1062" s="1855" t="s">
        <v>3267</v>
      </c>
      <c r="B1062" s="1462"/>
      <c r="C1062" s="1456">
        <v>20950</v>
      </c>
      <c r="D1062" s="1456">
        <v>20951</v>
      </c>
      <c r="E1062" s="1471">
        <v>-1</v>
      </c>
      <c r="O1062" s="1541">
        <f t="shared" si="28"/>
        <v>0</v>
      </c>
      <c r="P1062" s="1541">
        <f t="shared" si="28"/>
        <v>20950</v>
      </c>
      <c r="Q1062" s="1541">
        <f t="shared" si="28"/>
        <v>20951</v>
      </c>
      <c r="R1062" s="1541">
        <f t="shared" si="27"/>
        <v>-1</v>
      </c>
    </row>
    <row r="1063" spans="1:18" x14ac:dyDescent="0.3">
      <c r="A1063" s="1855" t="s">
        <v>3268</v>
      </c>
      <c r="B1063" s="1462"/>
      <c r="C1063" s="1456">
        <v>4770</v>
      </c>
      <c r="D1063" s="1456">
        <v>4770</v>
      </c>
      <c r="E1063" s="1462"/>
      <c r="O1063" s="1541">
        <f t="shared" si="28"/>
        <v>0</v>
      </c>
      <c r="P1063" s="1541">
        <f t="shared" si="28"/>
        <v>4770</v>
      </c>
      <c r="Q1063" s="1541">
        <f t="shared" si="28"/>
        <v>4770</v>
      </c>
      <c r="R1063" s="1541">
        <f t="shared" si="27"/>
        <v>0</v>
      </c>
    </row>
    <row r="1064" spans="1:18" x14ac:dyDescent="0.3">
      <c r="A1064" s="1855" t="s">
        <v>3269</v>
      </c>
      <c r="B1064" s="1462"/>
      <c r="C1064" s="1456">
        <v>16193</v>
      </c>
      <c r="D1064" s="1456">
        <v>16193</v>
      </c>
      <c r="E1064" s="1462"/>
      <c r="O1064" s="1541">
        <f t="shared" si="28"/>
        <v>0</v>
      </c>
      <c r="P1064" s="1541">
        <f t="shared" si="28"/>
        <v>16193</v>
      </c>
      <c r="Q1064" s="1541">
        <f t="shared" si="28"/>
        <v>16193</v>
      </c>
      <c r="R1064" s="1541">
        <f t="shared" si="27"/>
        <v>0</v>
      </c>
    </row>
    <row r="1065" spans="1:18" x14ac:dyDescent="0.3">
      <c r="A1065" s="1855" t="s">
        <v>3270</v>
      </c>
      <c r="B1065" s="1462"/>
      <c r="C1065" s="1456">
        <v>1270</v>
      </c>
      <c r="D1065" s="1456">
        <v>1270</v>
      </c>
      <c r="E1065" s="1462"/>
      <c r="O1065" s="1541">
        <f t="shared" si="28"/>
        <v>0</v>
      </c>
      <c r="P1065" s="1541">
        <f t="shared" si="28"/>
        <v>1270</v>
      </c>
      <c r="Q1065" s="1541">
        <f t="shared" si="28"/>
        <v>1270</v>
      </c>
      <c r="R1065" s="1541">
        <f t="shared" si="27"/>
        <v>0</v>
      </c>
    </row>
    <row r="1066" spans="1:18" x14ac:dyDescent="0.3">
      <c r="A1066" s="1855" t="s">
        <v>3271</v>
      </c>
      <c r="B1066" s="1462"/>
      <c r="C1066" s="1456">
        <v>5426</v>
      </c>
      <c r="D1066" s="1456">
        <v>5426</v>
      </c>
      <c r="E1066" s="1462"/>
      <c r="O1066" s="1541">
        <f t="shared" si="28"/>
        <v>0</v>
      </c>
      <c r="P1066" s="1541">
        <f t="shared" si="28"/>
        <v>5426</v>
      </c>
      <c r="Q1066" s="1541">
        <f t="shared" si="28"/>
        <v>5426</v>
      </c>
      <c r="R1066" s="1541">
        <f t="shared" si="27"/>
        <v>0</v>
      </c>
    </row>
    <row r="1067" spans="1:18" x14ac:dyDescent="0.3">
      <c r="A1067" s="1855" t="s">
        <v>3272</v>
      </c>
      <c r="B1067" s="1462"/>
      <c r="C1067" s="1456">
        <v>113626</v>
      </c>
      <c r="D1067" s="1456">
        <v>100000</v>
      </c>
      <c r="E1067" s="1896">
        <v>13626</v>
      </c>
      <c r="O1067" s="1541">
        <f t="shared" si="28"/>
        <v>0</v>
      </c>
      <c r="P1067" s="1541">
        <f t="shared" si="28"/>
        <v>113626</v>
      </c>
      <c r="Q1067" s="1541">
        <f t="shared" si="28"/>
        <v>100000</v>
      </c>
      <c r="R1067" s="1541">
        <f t="shared" si="27"/>
        <v>13626</v>
      </c>
    </row>
    <row r="1068" spans="1:18" x14ac:dyDescent="0.3">
      <c r="A1068" s="1855" t="s">
        <v>3273</v>
      </c>
      <c r="B1068" s="1462"/>
      <c r="C1068" s="1456">
        <v>3742</v>
      </c>
      <c r="D1068" s="1456">
        <v>3742</v>
      </c>
      <c r="E1068" s="1462"/>
      <c r="O1068" s="1541">
        <f t="shared" si="28"/>
        <v>0</v>
      </c>
      <c r="P1068" s="1541">
        <f t="shared" si="28"/>
        <v>3742</v>
      </c>
      <c r="Q1068" s="1541">
        <f t="shared" si="28"/>
        <v>3742</v>
      </c>
      <c r="R1068" s="1541">
        <f t="shared" si="27"/>
        <v>0</v>
      </c>
    </row>
    <row r="1069" spans="1:18" x14ac:dyDescent="0.3">
      <c r="A1069" s="1852" t="s">
        <v>3274</v>
      </c>
      <c r="B1069" s="1462"/>
      <c r="C1069" s="1456">
        <v>9395</v>
      </c>
      <c r="D1069" s="1456">
        <v>9089</v>
      </c>
      <c r="E1069" s="1896">
        <v>306</v>
      </c>
      <c r="O1069" s="1541">
        <f t="shared" si="28"/>
        <v>0</v>
      </c>
      <c r="P1069" s="1541">
        <f t="shared" si="28"/>
        <v>9395</v>
      </c>
      <c r="Q1069" s="1541">
        <f t="shared" si="28"/>
        <v>9089</v>
      </c>
      <c r="R1069" s="1541">
        <f t="shared" si="27"/>
        <v>306</v>
      </c>
    </row>
    <row r="1070" spans="1:18" x14ac:dyDescent="0.3">
      <c r="A1070" s="1852" t="s">
        <v>3275</v>
      </c>
      <c r="B1070" s="1462"/>
      <c r="C1070" s="1456">
        <v>892</v>
      </c>
      <c r="D1070" s="1456">
        <v>892</v>
      </c>
      <c r="E1070" s="1462"/>
      <c r="O1070" s="1541">
        <f t="shared" si="28"/>
        <v>0</v>
      </c>
      <c r="P1070" s="1541">
        <f t="shared" si="28"/>
        <v>892</v>
      </c>
      <c r="Q1070" s="1541">
        <f t="shared" si="28"/>
        <v>892</v>
      </c>
      <c r="R1070" s="1541">
        <f t="shared" si="28"/>
        <v>0</v>
      </c>
    </row>
    <row r="1071" spans="1:18" x14ac:dyDescent="0.3">
      <c r="A1071" s="1855" t="s">
        <v>3276</v>
      </c>
      <c r="B1071" s="1462"/>
      <c r="C1071" s="1456">
        <v>6046.01</v>
      </c>
      <c r="D1071" s="1456">
        <v>6046</v>
      </c>
      <c r="E1071" s="1896">
        <v>0.01</v>
      </c>
      <c r="O1071" s="1541">
        <f t="shared" ref="O1071:R1134" si="29">B1071+I1071</f>
        <v>0</v>
      </c>
      <c r="P1071" s="1541">
        <f t="shared" si="29"/>
        <v>6046.01</v>
      </c>
      <c r="Q1071" s="1541">
        <f t="shared" si="29"/>
        <v>6046</v>
      </c>
      <c r="R1071" s="1541">
        <f t="shared" si="29"/>
        <v>0.01</v>
      </c>
    </row>
    <row r="1072" spans="1:18" x14ac:dyDescent="0.3">
      <c r="A1072" s="1855" t="s">
        <v>3277</v>
      </c>
      <c r="B1072" s="1462"/>
      <c r="C1072" s="1456">
        <v>143747</v>
      </c>
      <c r="D1072" s="1456">
        <v>144900</v>
      </c>
      <c r="E1072" s="1471">
        <v>-1153</v>
      </c>
      <c r="O1072" s="1541">
        <f t="shared" si="29"/>
        <v>0</v>
      </c>
      <c r="P1072" s="1541">
        <f t="shared" si="29"/>
        <v>143747</v>
      </c>
      <c r="Q1072" s="1541">
        <f t="shared" si="29"/>
        <v>144900</v>
      </c>
      <c r="R1072" s="1541">
        <f t="shared" si="29"/>
        <v>-1153</v>
      </c>
    </row>
    <row r="1073" spans="1:18" x14ac:dyDescent="0.3">
      <c r="A1073" s="1855" t="s">
        <v>3278</v>
      </c>
      <c r="B1073" s="1462"/>
      <c r="C1073" s="1456">
        <v>320620</v>
      </c>
      <c r="D1073" s="1456">
        <v>320120</v>
      </c>
      <c r="E1073" s="1896">
        <v>500</v>
      </c>
      <c r="O1073" s="1541">
        <f t="shared" si="29"/>
        <v>0</v>
      </c>
      <c r="P1073" s="1541">
        <f t="shared" si="29"/>
        <v>320620</v>
      </c>
      <c r="Q1073" s="1541">
        <f t="shared" si="29"/>
        <v>320120</v>
      </c>
      <c r="R1073" s="1541">
        <f t="shared" si="29"/>
        <v>500</v>
      </c>
    </row>
    <row r="1074" spans="1:18" x14ac:dyDescent="0.3">
      <c r="A1074" s="1855" t="s">
        <v>3279</v>
      </c>
      <c r="B1074" s="1462"/>
      <c r="C1074" s="1456">
        <v>409701</v>
      </c>
      <c r="D1074" s="1456">
        <v>391179</v>
      </c>
      <c r="E1074" s="1896">
        <v>18522</v>
      </c>
      <c r="O1074" s="1541">
        <f t="shared" si="29"/>
        <v>0</v>
      </c>
      <c r="P1074" s="1541">
        <f t="shared" si="29"/>
        <v>409701</v>
      </c>
      <c r="Q1074" s="1541">
        <f t="shared" si="29"/>
        <v>391179</v>
      </c>
      <c r="R1074" s="1541">
        <f t="shared" si="29"/>
        <v>18522</v>
      </c>
    </row>
    <row r="1075" spans="1:18" x14ac:dyDescent="0.3">
      <c r="A1075" s="1852" t="s">
        <v>3280</v>
      </c>
      <c r="B1075" s="1462"/>
      <c r="C1075" s="1456">
        <v>4903</v>
      </c>
      <c r="D1075" s="1456">
        <v>4903</v>
      </c>
      <c r="E1075" s="1462"/>
      <c r="O1075" s="1541">
        <f t="shared" si="29"/>
        <v>0</v>
      </c>
      <c r="P1075" s="1541">
        <f t="shared" si="29"/>
        <v>4903</v>
      </c>
      <c r="Q1075" s="1541">
        <f t="shared" si="29"/>
        <v>4903</v>
      </c>
      <c r="R1075" s="1541">
        <f t="shared" si="29"/>
        <v>0</v>
      </c>
    </row>
    <row r="1076" spans="1:18" x14ac:dyDescent="0.3">
      <c r="A1076" s="1852" t="s">
        <v>3281</v>
      </c>
      <c r="B1076" s="1462"/>
      <c r="C1076" s="1456">
        <v>1370</v>
      </c>
      <c r="D1076" s="1456">
        <v>1370</v>
      </c>
      <c r="E1076" s="1462"/>
      <c r="O1076" s="1541">
        <f t="shared" si="29"/>
        <v>0</v>
      </c>
      <c r="P1076" s="1541">
        <f t="shared" si="29"/>
        <v>1370</v>
      </c>
      <c r="Q1076" s="1541">
        <f t="shared" si="29"/>
        <v>1370</v>
      </c>
      <c r="R1076" s="1541">
        <f t="shared" si="29"/>
        <v>0</v>
      </c>
    </row>
    <row r="1077" spans="1:18" x14ac:dyDescent="0.3">
      <c r="A1077" s="1852" t="s">
        <v>3282</v>
      </c>
      <c r="B1077" s="1462"/>
      <c r="C1077" s="1456">
        <v>366</v>
      </c>
      <c r="D1077" s="1456">
        <v>366</v>
      </c>
      <c r="E1077" s="1462"/>
      <c r="O1077" s="1541">
        <f t="shared" si="29"/>
        <v>0</v>
      </c>
      <c r="P1077" s="1541">
        <f t="shared" si="29"/>
        <v>366</v>
      </c>
      <c r="Q1077" s="1541">
        <f t="shared" si="29"/>
        <v>366</v>
      </c>
      <c r="R1077" s="1541">
        <f t="shared" si="29"/>
        <v>0</v>
      </c>
    </row>
    <row r="1078" spans="1:18" x14ac:dyDescent="0.3">
      <c r="A1078" s="1855" t="s">
        <v>3283</v>
      </c>
      <c r="B1078" s="1462"/>
      <c r="C1078" s="1456">
        <v>600</v>
      </c>
      <c r="D1078" s="1456">
        <v>600</v>
      </c>
      <c r="E1078" s="1462"/>
      <c r="O1078" s="1541">
        <f t="shared" si="29"/>
        <v>0</v>
      </c>
      <c r="P1078" s="1541">
        <f t="shared" si="29"/>
        <v>600</v>
      </c>
      <c r="Q1078" s="1541">
        <f t="shared" si="29"/>
        <v>600</v>
      </c>
      <c r="R1078" s="1541">
        <f t="shared" si="29"/>
        <v>0</v>
      </c>
    </row>
    <row r="1079" spans="1:18" x14ac:dyDescent="0.3">
      <c r="A1079" s="1855" t="s">
        <v>3284</v>
      </c>
      <c r="B1079" s="1462"/>
      <c r="C1079" s="1456">
        <v>7692</v>
      </c>
      <c r="D1079" s="1456">
        <v>7692</v>
      </c>
      <c r="E1079" s="1462"/>
      <c r="O1079" s="1541">
        <f t="shared" si="29"/>
        <v>0</v>
      </c>
      <c r="P1079" s="1541">
        <f t="shared" si="29"/>
        <v>7692</v>
      </c>
      <c r="Q1079" s="1541">
        <f t="shared" si="29"/>
        <v>7692</v>
      </c>
      <c r="R1079" s="1541">
        <f t="shared" si="29"/>
        <v>0</v>
      </c>
    </row>
    <row r="1080" spans="1:18" x14ac:dyDescent="0.3">
      <c r="A1080" s="1855" t="s">
        <v>3285</v>
      </c>
      <c r="B1080" s="1462"/>
      <c r="C1080" s="1456">
        <v>10148</v>
      </c>
      <c r="D1080" s="1456">
        <v>10148</v>
      </c>
      <c r="E1080" s="1462"/>
      <c r="O1080" s="1541">
        <f t="shared" si="29"/>
        <v>0</v>
      </c>
      <c r="P1080" s="1541">
        <f t="shared" si="29"/>
        <v>10148</v>
      </c>
      <c r="Q1080" s="1541">
        <f t="shared" si="29"/>
        <v>10148</v>
      </c>
      <c r="R1080" s="1541">
        <f t="shared" si="29"/>
        <v>0</v>
      </c>
    </row>
    <row r="1081" spans="1:18" x14ac:dyDescent="0.3">
      <c r="A1081" s="1852" t="s">
        <v>3286</v>
      </c>
      <c r="B1081" s="1462"/>
      <c r="C1081" s="1456">
        <v>4111</v>
      </c>
      <c r="D1081" s="1456">
        <v>4111</v>
      </c>
      <c r="E1081" s="1462"/>
      <c r="O1081" s="1541">
        <f t="shared" si="29"/>
        <v>0</v>
      </c>
      <c r="P1081" s="1541">
        <f t="shared" si="29"/>
        <v>4111</v>
      </c>
      <c r="Q1081" s="1541">
        <f t="shared" si="29"/>
        <v>4111</v>
      </c>
      <c r="R1081" s="1541">
        <f t="shared" si="29"/>
        <v>0</v>
      </c>
    </row>
    <row r="1082" spans="1:18" x14ac:dyDescent="0.3">
      <c r="A1082" s="1855" t="s">
        <v>3287</v>
      </c>
      <c r="B1082" s="1462"/>
      <c r="C1082" s="1456">
        <v>12700</v>
      </c>
      <c r="D1082" s="1456">
        <v>12700</v>
      </c>
      <c r="E1082" s="1462"/>
      <c r="O1082" s="1541">
        <f t="shared" si="29"/>
        <v>0</v>
      </c>
      <c r="P1082" s="1541">
        <f t="shared" si="29"/>
        <v>12700</v>
      </c>
      <c r="Q1082" s="1541">
        <f t="shared" si="29"/>
        <v>12700</v>
      </c>
      <c r="R1082" s="1541">
        <f t="shared" si="29"/>
        <v>0</v>
      </c>
    </row>
    <row r="1083" spans="1:18" x14ac:dyDescent="0.3">
      <c r="A1083" s="1852" t="s">
        <v>3288</v>
      </c>
      <c r="B1083" s="1462"/>
      <c r="C1083" s="1456">
        <v>40652</v>
      </c>
      <c r="D1083" s="1456">
        <v>40652</v>
      </c>
      <c r="E1083" s="1462"/>
      <c r="O1083" s="1541">
        <f t="shared" si="29"/>
        <v>0</v>
      </c>
      <c r="P1083" s="1541">
        <f t="shared" si="29"/>
        <v>40652</v>
      </c>
      <c r="Q1083" s="1541">
        <f t="shared" si="29"/>
        <v>40652</v>
      </c>
      <c r="R1083" s="1541">
        <f t="shared" si="29"/>
        <v>0</v>
      </c>
    </row>
    <row r="1084" spans="1:18" x14ac:dyDescent="0.3">
      <c r="A1084" s="1852" t="s">
        <v>3289</v>
      </c>
      <c r="B1084" s="1462"/>
      <c r="C1084" s="1456">
        <v>472</v>
      </c>
      <c r="D1084" s="1456">
        <v>472</v>
      </c>
      <c r="E1084" s="1462"/>
      <c r="O1084" s="1541">
        <f t="shared" si="29"/>
        <v>0</v>
      </c>
      <c r="P1084" s="1541">
        <f t="shared" si="29"/>
        <v>472</v>
      </c>
      <c r="Q1084" s="1541">
        <f t="shared" si="29"/>
        <v>472</v>
      </c>
      <c r="R1084" s="1541">
        <f t="shared" si="29"/>
        <v>0</v>
      </c>
    </row>
    <row r="1085" spans="1:18" x14ac:dyDescent="0.3">
      <c r="A1085" s="1855" t="s">
        <v>3290</v>
      </c>
      <c r="B1085" s="1462"/>
      <c r="C1085" s="1456">
        <v>1350</v>
      </c>
      <c r="D1085" s="1456">
        <v>1350</v>
      </c>
      <c r="E1085" s="1462"/>
      <c r="O1085" s="1541">
        <f t="shared" si="29"/>
        <v>0</v>
      </c>
      <c r="P1085" s="1541">
        <f t="shared" si="29"/>
        <v>1350</v>
      </c>
      <c r="Q1085" s="1541">
        <f t="shared" si="29"/>
        <v>1350</v>
      </c>
      <c r="R1085" s="1541">
        <f t="shared" si="29"/>
        <v>0</v>
      </c>
    </row>
    <row r="1086" spans="1:18" x14ac:dyDescent="0.3">
      <c r="A1086" s="1852" t="s">
        <v>3291</v>
      </c>
      <c r="B1086" s="1462"/>
      <c r="C1086" s="1456">
        <v>143702</v>
      </c>
      <c r="D1086" s="1456">
        <v>143702</v>
      </c>
      <c r="E1086" s="1462"/>
      <c r="O1086" s="1541">
        <f t="shared" si="29"/>
        <v>0</v>
      </c>
      <c r="P1086" s="1541">
        <f t="shared" si="29"/>
        <v>143702</v>
      </c>
      <c r="Q1086" s="1541">
        <f t="shared" si="29"/>
        <v>143702</v>
      </c>
      <c r="R1086" s="1541">
        <f t="shared" si="29"/>
        <v>0</v>
      </c>
    </row>
    <row r="1087" spans="1:18" x14ac:dyDescent="0.3">
      <c r="A1087" s="1855" t="s">
        <v>3292</v>
      </c>
      <c r="B1087" s="1462"/>
      <c r="C1087" s="1456">
        <v>8250</v>
      </c>
      <c r="D1087" s="1456">
        <v>8250</v>
      </c>
      <c r="E1087" s="1462"/>
      <c r="O1087" s="1541">
        <f t="shared" si="29"/>
        <v>0</v>
      </c>
      <c r="P1087" s="1541">
        <f t="shared" si="29"/>
        <v>8250</v>
      </c>
      <c r="Q1087" s="1541">
        <f t="shared" si="29"/>
        <v>8250</v>
      </c>
      <c r="R1087" s="1541">
        <f t="shared" si="29"/>
        <v>0</v>
      </c>
    </row>
    <row r="1088" spans="1:18" x14ac:dyDescent="0.3">
      <c r="A1088" s="1855" t="s">
        <v>3293</v>
      </c>
      <c r="B1088" s="1462"/>
      <c r="C1088" s="1456">
        <v>356</v>
      </c>
      <c r="D1088" s="1456">
        <v>356</v>
      </c>
      <c r="E1088" s="1462"/>
      <c r="O1088" s="1541">
        <f t="shared" si="29"/>
        <v>0</v>
      </c>
      <c r="P1088" s="1541">
        <f t="shared" si="29"/>
        <v>356</v>
      </c>
      <c r="Q1088" s="1541">
        <f t="shared" si="29"/>
        <v>356</v>
      </c>
      <c r="R1088" s="1541">
        <f t="shared" si="29"/>
        <v>0</v>
      </c>
    </row>
    <row r="1089" spans="1:18" x14ac:dyDescent="0.3">
      <c r="A1089" s="1855" t="s">
        <v>3294</v>
      </c>
      <c r="B1089" s="1462"/>
      <c r="C1089" s="1456">
        <v>498</v>
      </c>
      <c r="D1089" s="1456">
        <v>498</v>
      </c>
      <c r="E1089" s="1462"/>
      <c r="O1089" s="1541">
        <f t="shared" si="29"/>
        <v>0</v>
      </c>
      <c r="P1089" s="1541">
        <f t="shared" si="29"/>
        <v>498</v>
      </c>
      <c r="Q1089" s="1541">
        <f t="shared" si="29"/>
        <v>498</v>
      </c>
      <c r="R1089" s="1541">
        <f t="shared" si="29"/>
        <v>0</v>
      </c>
    </row>
    <row r="1090" spans="1:18" x14ac:dyDescent="0.3">
      <c r="A1090" s="1855" t="s">
        <v>3295</v>
      </c>
      <c r="B1090" s="1462"/>
      <c r="C1090" s="1456">
        <v>1501</v>
      </c>
      <c r="D1090" s="1456">
        <v>1501</v>
      </c>
      <c r="E1090" s="1462"/>
      <c r="O1090" s="1541">
        <f t="shared" si="29"/>
        <v>0</v>
      </c>
      <c r="P1090" s="1541">
        <f t="shared" si="29"/>
        <v>1501</v>
      </c>
      <c r="Q1090" s="1541">
        <f t="shared" si="29"/>
        <v>1501</v>
      </c>
      <c r="R1090" s="1541">
        <f t="shared" si="29"/>
        <v>0</v>
      </c>
    </row>
    <row r="1091" spans="1:18" x14ac:dyDescent="0.3">
      <c r="A1091" s="1852" t="s">
        <v>3296</v>
      </c>
      <c r="B1091" s="1462"/>
      <c r="C1091" s="1456">
        <v>190</v>
      </c>
      <c r="D1091" s="1456">
        <v>190</v>
      </c>
      <c r="E1091" s="1462"/>
      <c r="O1091" s="1541">
        <f t="shared" si="29"/>
        <v>0</v>
      </c>
      <c r="P1091" s="1541">
        <f t="shared" si="29"/>
        <v>190</v>
      </c>
      <c r="Q1091" s="1541">
        <f t="shared" si="29"/>
        <v>190</v>
      </c>
      <c r="R1091" s="1541">
        <f t="shared" si="29"/>
        <v>0</v>
      </c>
    </row>
    <row r="1092" spans="1:18" x14ac:dyDescent="0.3">
      <c r="A1092" s="1852" t="s">
        <v>3297</v>
      </c>
      <c r="B1092" s="1462"/>
      <c r="C1092" s="1456">
        <v>900</v>
      </c>
      <c r="D1092" s="1456">
        <v>900</v>
      </c>
      <c r="E1092" s="1462"/>
      <c r="O1092" s="1541">
        <f t="shared" si="29"/>
        <v>0</v>
      </c>
      <c r="P1092" s="1541">
        <f t="shared" si="29"/>
        <v>900</v>
      </c>
      <c r="Q1092" s="1541">
        <f t="shared" si="29"/>
        <v>900</v>
      </c>
      <c r="R1092" s="1541">
        <f t="shared" si="29"/>
        <v>0</v>
      </c>
    </row>
    <row r="1093" spans="1:18" x14ac:dyDescent="0.3">
      <c r="A1093" s="1855" t="s">
        <v>3298</v>
      </c>
      <c r="B1093" s="1462"/>
      <c r="C1093" s="1456">
        <v>900</v>
      </c>
      <c r="D1093" s="1456">
        <v>900</v>
      </c>
      <c r="E1093" s="1462"/>
      <c r="O1093" s="1541">
        <f t="shared" si="29"/>
        <v>0</v>
      </c>
      <c r="P1093" s="1541">
        <f t="shared" si="29"/>
        <v>900</v>
      </c>
      <c r="Q1093" s="1541">
        <f t="shared" si="29"/>
        <v>900</v>
      </c>
      <c r="R1093" s="1541">
        <f t="shared" si="29"/>
        <v>0</v>
      </c>
    </row>
    <row r="1094" spans="1:18" x14ac:dyDescent="0.3">
      <c r="A1094" s="1852" t="s">
        <v>3299</v>
      </c>
      <c r="B1094" s="1462"/>
      <c r="C1094" s="1456">
        <v>28317</v>
      </c>
      <c r="D1094" s="1456">
        <v>28317</v>
      </c>
      <c r="E1094" s="1462"/>
      <c r="O1094" s="1541">
        <f t="shared" si="29"/>
        <v>0</v>
      </c>
      <c r="P1094" s="1541">
        <f t="shared" si="29"/>
        <v>28317</v>
      </c>
      <c r="Q1094" s="1541">
        <f t="shared" si="29"/>
        <v>28317</v>
      </c>
      <c r="R1094" s="1541">
        <f t="shared" si="29"/>
        <v>0</v>
      </c>
    </row>
    <row r="1095" spans="1:18" x14ac:dyDescent="0.3">
      <c r="A1095" s="1852" t="s">
        <v>3300</v>
      </c>
      <c r="B1095" s="1462"/>
      <c r="C1095" s="1456">
        <v>9418</v>
      </c>
      <c r="D1095" s="1456">
        <v>9418</v>
      </c>
      <c r="E1095" s="1462"/>
      <c r="O1095" s="1541">
        <f t="shared" si="29"/>
        <v>0</v>
      </c>
      <c r="P1095" s="1541">
        <f t="shared" si="29"/>
        <v>9418</v>
      </c>
      <c r="Q1095" s="1541">
        <f t="shared" si="29"/>
        <v>9418</v>
      </c>
      <c r="R1095" s="1541">
        <f t="shared" si="29"/>
        <v>0</v>
      </c>
    </row>
    <row r="1096" spans="1:18" x14ac:dyDescent="0.3">
      <c r="A1096" s="1855" t="s">
        <v>3301</v>
      </c>
      <c r="B1096" s="1462"/>
      <c r="C1096" s="1456">
        <v>96000</v>
      </c>
      <c r="D1096" s="1456">
        <v>96000</v>
      </c>
      <c r="E1096" s="1462"/>
      <c r="O1096" s="1541">
        <f t="shared" si="29"/>
        <v>0</v>
      </c>
      <c r="P1096" s="1541">
        <f t="shared" si="29"/>
        <v>96000</v>
      </c>
      <c r="Q1096" s="1541">
        <f t="shared" si="29"/>
        <v>96000</v>
      </c>
      <c r="R1096" s="1541">
        <f t="shared" si="29"/>
        <v>0</v>
      </c>
    </row>
    <row r="1097" spans="1:18" x14ac:dyDescent="0.3">
      <c r="A1097" s="1852" t="s">
        <v>3302</v>
      </c>
      <c r="B1097" s="1462"/>
      <c r="C1097" s="1456">
        <v>139574</v>
      </c>
      <c r="D1097" s="1456">
        <v>135119</v>
      </c>
      <c r="E1097" s="1896">
        <v>4455</v>
      </c>
      <c r="O1097" s="1541">
        <f t="shared" si="29"/>
        <v>0</v>
      </c>
      <c r="P1097" s="1541">
        <f t="shared" si="29"/>
        <v>139574</v>
      </c>
      <c r="Q1097" s="1541">
        <f t="shared" si="29"/>
        <v>135119</v>
      </c>
      <c r="R1097" s="1541">
        <f t="shared" si="29"/>
        <v>4455</v>
      </c>
    </row>
    <row r="1098" spans="1:18" x14ac:dyDescent="0.3">
      <c r="A1098" s="1855" t="s">
        <v>3303</v>
      </c>
      <c r="B1098" s="1462"/>
      <c r="C1098" s="1456">
        <v>1748</v>
      </c>
      <c r="D1098" s="1456">
        <v>1748</v>
      </c>
      <c r="E1098" s="1462"/>
      <c r="O1098" s="1541">
        <f t="shared" si="29"/>
        <v>0</v>
      </c>
      <c r="P1098" s="1541">
        <f t="shared" si="29"/>
        <v>1748</v>
      </c>
      <c r="Q1098" s="1541">
        <f t="shared" si="29"/>
        <v>1748</v>
      </c>
      <c r="R1098" s="1541">
        <f t="shared" si="29"/>
        <v>0</v>
      </c>
    </row>
    <row r="1099" spans="1:18" x14ac:dyDescent="0.3">
      <c r="A1099" s="1852" t="s">
        <v>3304</v>
      </c>
      <c r="B1099" s="1462"/>
      <c r="C1099" s="1456">
        <v>380</v>
      </c>
      <c r="D1099" s="1456">
        <v>380</v>
      </c>
      <c r="E1099" s="1462"/>
      <c r="O1099" s="1541">
        <f t="shared" si="29"/>
        <v>0</v>
      </c>
      <c r="P1099" s="1541">
        <f t="shared" si="29"/>
        <v>380</v>
      </c>
      <c r="Q1099" s="1541">
        <f t="shared" si="29"/>
        <v>380</v>
      </c>
      <c r="R1099" s="1541">
        <f t="shared" si="29"/>
        <v>0</v>
      </c>
    </row>
    <row r="1100" spans="1:18" x14ac:dyDescent="0.3">
      <c r="A1100" s="1852" t="s">
        <v>3305</v>
      </c>
      <c r="B1100" s="1462"/>
      <c r="C1100" s="1456">
        <v>700</v>
      </c>
      <c r="D1100" s="1456">
        <v>700</v>
      </c>
      <c r="E1100" s="1462"/>
      <c r="O1100" s="1541">
        <f t="shared" si="29"/>
        <v>0</v>
      </c>
      <c r="P1100" s="1541">
        <f t="shared" si="29"/>
        <v>700</v>
      </c>
      <c r="Q1100" s="1541">
        <f t="shared" si="29"/>
        <v>700</v>
      </c>
      <c r="R1100" s="1541">
        <f t="shared" si="29"/>
        <v>0</v>
      </c>
    </row>
    <row r="1101" spans="1:18" x14ac:dyDescent="0.3">
      <c r="A1101" s="1855" t="s">
        <v>3306</v>
      </c>
      <c r="B1101" s="1462"/>
      <c r="C1101" s="1456">
        <v>200</v>
      </c>
      <c r="D1101" s="1456">
        <v>200</v>
      </c>
      <c r="E1101" s="1462"/>
      <c r="O1101" s="1541">
        <f t="shared" si="29"/>
        <v>0</v>
      </c>
      <c r="P1101" s="1541">
        <f t="shared" si="29"/>
        <v>200</v>
      </c>
      <c r="Q1101" s="1541">
        <f t="shared" si="29"/>
        <v>200</v>
      </c>
      <c r="R1101" s="1541">
        <f t="shared" si="29"/>
        <v>0</v>
      </c>
    </row>
    <row r="1102" spans="1:18" x14ac:dyDescent="0.3">
      <c r="A1102" s="1855" t="s">
        <v>3307</v>
      </c>
      <c r="B1102" s="1462"/>
      <c r="C1102" s="1456">
        <v>3344</v>
      </c>
      <c r="D1102" s="1456">
        <v>3344</v>
      </c>
      <c r="E1102" s="1462"/>
      <c r="O1102" s="1541">
        <f t="shared" si="29"/>
        <v>0</v>
      </c>
      <c r="P1102" s="1541">
        <f t="shared" si="29"/>
        <v>3344</v>
      </c>
      <c r="Q1102" s="1541">
        <f t="shared" si="29"/>
        <v>3344</v>
      </c>
      <c r="R1102" s="1541">
        <f t="shared" si="29"/>
        <v>0</v>
      </c>
    </row>
    <row r="1103" spans="1:18" x14ac:dyDescent="0.3">
      <c r="A1103" s="1855" t="s">
        <v>3308</v>
      </c>
      <c r="B1103" s="1462"/>
      <c r="C1103" s="1456">
        <v>380</v>
      </c>
      <c r="D1103" s="1456">
        <v>380</v>
      </c>
      <c r="E1103" s="1462"/>
      <c r="O1103" s="1541">
        <f t="shared" si="29"/>
        <v>0</v>
      </c>
      <c r="P1103" s="1541">
        <f t="shared" si="29"/>
        <v>380</v>
      </c>
      <c r="Q1103" s="1541">
        <f t="shared" si="29"/>
        <v>380</v>
      </c>
      <c r="R1103" s="1541">
        <f t="shared" si="29"/>
        <v>0</v>
      </c>
    </row>
    <row r="1104" spans="1:18" x14ac:dyDescent="0.3">
      <c r="A1104" s="1852" t="s">
        <v>3309</v>
      </c>
      <c r="B1104" s="1462"/>
      <c r="C1104" s="1456">
        <v>190</v>
      </c>
      <c r="D1104" s="1456">
        <v>190</v>
      </c>
      <c r="E1104" s="1462"/>
      <c r="O1104" s="1541">
        <f t="shared" si="29"/>
        <v>0</v>
      </c>
      <c r="P1104" s="1541">
        <f t="shared" si="29"/>
        <v>190</v>
      </c>
      <c r="Q1104" s="1541">
        <f t="shared" si="29"/>
        <v>190</v>
      </c>
      <c r="R1104" s="1541">
        <f t="shared" si="29"/>
        <v>0</v>
      </c>
    </row>
    <row r="1105" spans="1:18" x14ac:dyDescent="0.3">
      <c r="A1105" s="1852" t="s">
        <v>3310</v>
      </c>
      <c r="B1105" s="1462"/>
      <c r="C1105" s="1456">
        <v>570</v>
      </c>
      <c r="D1105" s="1456">
        <v>570</v>
      </c>
      <c r="E1105" s="1462"/>
      <c r="O1105" s="1541">
        <f t="shared" si="29"/>
        <v>0</v>
      </c>
      <c r="P1105" s="1541">
        <f t="shared" si="29"/>
        <v>570</v>
      </c>
      <c r="Q1105" s="1541">
        <f t="shared" si="29"/>
        <v>570</v>
      </c>
      <c r="R1105" s="1541">
        <f t="shared" si="29"/>
        <v>0</v>
      </c>
    </row>
    <row r="1106" spans="1:18" x14ac:dyDescent="0.3">
      <c r="A1106" s="1852" t="s">
        <v>3311</v>
      </c>
      <c r="B1106" s="1462"/>
      <c r="C1106" s="1456">
        <v>1002</v>
      </c>
      <c r="D1106" s="1456">
        <v>1002</v>
      </c>
      <c r="E1106" s="1462"/>
      <c r="O1106" s="1541">
        <f t="shared" si="29"/>
        <v>0</v>
      </c>
      <c r="P1106" s="1541">
        <f t="shared" si="29"/>
        <v>1002</v>
      </c>
      <c r="Q1106" s="1541">
        <f t="shared" si="29"/>
        <v>1002</v>
      </c>
      <c r="R1106" s="1541">
        <f t="shared" si="29"/>
        <v>0</v>
      </c>
    </row>
    <row r="1107" spans="1:18" x14ac:dyDescent="0.3">
      <c r="A1107" s="1855" t="s">
        <v>3312</v>
      </c>
      <c r="B1107" s="1462"/>
      <c r="C1107" s="1456">
        <v>380</v>
      </c>
      <c r="D1107" s="1456">
        <v>380</v>
      </c>
      <c r="E1107" s="1462"/>
      <c r="O1107" s="1541">
        <f t="shared" si="29"/>
        <v>0</v>
      </c>
      <c r="P1107" s="1541">
        <f t="shared" si="29"/>
        <v>380</v>
      </c>
      <c r="Q1107" s="1541">
        <f t="shared" si="29"/>
        <v>380</v>
      </c>
      <c r="R1107" s="1541">
        <f t="shared" si="29"/>
        <v>0</v>
      </c>
    </row>
    <row r="1108" spans="1:18" x14ac:dyDescent="0.3">
      <c r="A1108" s="1855" t="s">
        <v>3313</v>
      </c>
      <c r="B1108" s="1462"/>
      <c r="C1108" s="1456">
        <v>921</v>
      </c>
      <c r="D1108" s="1456">
        <v>921</v>
      </c>
      <c r="E1108" s="1462"/>
      <c r="O1108" s="1541">
        <f t="shared" si="29"/>
        <v>0</v>
      </c>
      <c r="P1108" s="1541">
        <f t="shared" si="29"/>
        <v>921</v>
      </c>
      <c r="Q1108" s="1541">
        <f t="shared" si="29"/>
        <v>921</v>
      </c>
      <c r="R1108" s="1541">
        <f t="shared" si="29"/>
        <v>0</v>
      </c>
    </row>
    <row r="1109" spans="1:18" x14ac:dyDescent="0.3">
      <c r="A1109" s="1855" t="s">
        <v>3314</v>
      </c>
      <c r="B1109" s="1462"/>
      <c r="C1109" s="1456">
        <v>332</v>
      </c>
      <c r="D1109" s="1456">
        <v>332</v>
      </c>
      <c r="E1109" s="1462"/>
      <c r="O1109" s="1541">
        <f t="shared" si="29"/>
        <v>0</v>
      </c>
      <c r="P1109" s="1541">
        <f t="shared" si="29"/>
        <v>332</v>
      </c>
      <c r="Q1109" s="1541">
        <f t="shared" si="29"/>
        <v>332</v>
      </c>
      <c r="R1109" s="1541">
        <f t="shared" si="29"/>
        <v>0</v>
      </c>
    </row>
    <row r="1110" spans="1:18" x14ac:dyDescent="0.3">
      <c r="A1110" s="1852" t="s">
        <v>3315</v>
      </c>
      <c r="B1110" s="1462"/>
      <c r="C1110" s="1456">
        <v>38640</v>
      </c>
      <c r="D1110" s="1456">
        <v>38640</v>
      </c>
      <c r="E1110" s="1462"/>
      <c r="O1110" s="1541">
        <f t="shared" si="29"/>
        <v>0</v>
      </c>
      <c r="P1110" s="1541">
        <f t="shared" si="29"/>
        <v>38640</v>
      </c>
      <c r="Q1110" s="1541">
        <f t="shared" si="29"/>
        <v>38640</v>
      </c>
      <c r="R1110" s="1541">
        <f t="shared" si="29"/>
        <v>0</v>
      </c>
    </row>
    <row r="1111" spans="1:18" x14ac:dyDescent="0.3">
      <c r="A1111" s="1855" t="s">
        <v>3316</v>
      </c>
      <c r="B1111" s="1462"/>
      <c r="C1111" s="1456">
        <v>880</v>
      </c>
      <c r="D1111" s="1456">
        <v>880</v>
      </c>
      <c r="E1111" s="1462"/>
      <c r="O1111" s="1541">
        <f t="shared" si="29"/>
        <v>0</v>
      </c>
      <c r="P1111" s="1541">
        <f t="shared" si="29"/>
        <v>880</v>
      </c>
      <c r="Q1111" s="1541">
        <f t="shared" si="29"/>
        <v>880</v>
      </c>
      <c r="R1111" s="1541">
        <f t="shared" si="29"/>
        <v>0</v>
      </c>
    </row>
    <row r="1112" spans="1:18" x14ac:dyDescent="0.3">
      <c r="A1112" s="1852" t="s">
        <v>3317</v>
      </c>
      <c r="B1112" s="1462"/>
      <c r="C1112" s="1456">
        <v>570</v>
      </c>
      <c r="D1112" s="1456">
        <v>570</v>
      </c>
      <c r="E1112" s="1462"/>
      <c r="O1112" s="1541">
        <f t="shared" si="29"/>
        <v>0</v>
      </c>
      <c r="P1112" s="1541">
        <f t="shared" si="29"/>
        <v>570</v>
      </c>
      <c r="Q1112" s="1541">
        <f t="shared" si="29"/>
        <v>570</v>
      </c>
      <c r="R1112" s="1541">
        <f t="shared" si="29"/>
        <v>0</v>
      </c>
    </row>
    <row r="1113" spans="1:18" x14ac:dyDescent="0.3">
      <c r="A1113" s="1852" t="s">
        <v>3318</v>
      </c>
      <c r="B1113" s="1462"/>
      <c r="C1113" s="1456">
        <v>2282</v>
      </c>
      <c r="D1113" s="1456">
        <v>2282</v>
      </c>
      <c r="E1113" s="1462"/>
      <c r="O1113" s="1541">
        <f t="shared" si="29"/>
        <v>0</v>
      </c>
      <c r="P1113" s="1541">
        <f t="shared" si="29"/>
        <v>2282</v>
      </c>
      <c r="Q1113" s="1541">
        <f t="shared" si="29"/>
        <v>2282</v>
      </c>
      <c r="R1113" s="1541">
        <f t="shared" si="29"/>
        <v>0</v>
      </c>
    </row>
    <row r="1114" spans="1:18" x14ac:dyDescent="0.3">
      <c r="A1114" s="1852" t="s">
        <v>3319</v>
      </c>
      <c r="B1114" s="1462"/>
      <c r="C1114" s="1456">
        <v>560</v>
      </c>
      <c r="D1114" s="1456">
        <v>560</v>
      </c>
      <c r="E1114" s="1462"/>
      <c r="O1114" s="1541">
        <f t="shared" si="29"/>
        <v>0</v>
      </c>
      <c r="P1114" s="1541">
        <f t="shared" si="29"/>
        <v>560</v>
      </c>
      <c r="Q1114" s="1541">
        <f t="shared" si="29"/>
        <v>560</v>
      </c>
      <c r="R1114" s="1541">
        <f t="shared" si="29"/>
        <v>0</v>
      </c>
    </row>
    <row r="1115" spans="1:18" x14ac:dyDescent="0.3">
      <c r="A1115" s="1855" t="s">
        <v>3320</v>
      </c>
      <c r="B1115" s="1462"/>
      <c r="C1115" s="1456">
        <v>1120</v>
      </c>
      <c r="D1115" s="1456">
        <v>1120</v>
      </c>
      <c r="E1115" s="1462"/>
      <c r="O1115" s="1541">
        <f t="shared" si="29"/>
        <v>0</v>
      </c>
      <c r="P1115" s="1541">
        <f t="shared" si="29"/>
        <v>1120</v>
      </c>
      <c r="Q1115" s="1541">
        <f t="shared" si="29"/>
        <v>1120</v>
      </c>
      <c r="R1115" s="1541">
        <f t="shared" si="29"/>
        <v>0</v>
      </c>
    </row>
    <row r="1116" spans="1:18" x14ac:dyDescent="0.3">
      <c r="A1116" s="1855" t="s">
        <v>3321</v>
      </c>
      <c r="B1116" s="1462"/>
      <c r="C1116" s="1456">
        <v>43400.02</v>
      </c>
      <c r="D1116" s="1456">
        <v>29600</v>
      </c>
      <c r="E1116" s="1896">
        <v>13800.02</v>
      </c>
      <c r="O1116" s="1541">
        <f t="shared" si="29"/>
        <v>0</v>
      </c>
      <c r="P1116" s="1541">
        <f t="shared" si="29"/>
        <v>43400.02</v>
      </c>
      <c r="Q1116" s="1541">
        <f t="shared" si="29"/>
        <v>29600</v>
      </c>
      <c r="R1116" s="1541">
        <f t="shared" si="29"/>
        <v>13800.02</v>
      </c>
    </row>
    <row r="1117" spans="1:18" x14ac:dyDescent="0.3">
      <c r="A1117" s="1855" t="s">
        <v>3322</v>
      </c>
      <c r="B1117" s="1462"/>
      <c r="C1117" s="1456">
        <v>11317.17</v>
      </c>
      <c r="D1117" s="1456">
        <v>11317.17</v>
      </c>
      <c r="E1117" s="1462"/>
      <c r="O1117" s="1541">
        <f t="shared" si="29"/>
        <v>0</v>
      </c>
      <c r="P1117" s="1541">
        <f t="shared" si="29"/>
        <v>11317.17</v>
      </c>
      <c r="Q1117" s="1541">
        <f t="shared" si="29"/>
        <v>11317.17</v>
      </c>
      <c r="R1117" s="1541">
        <f t="shared" si="29"/>
        <v>0</v>
      </c>
    </row>
    <row r="1118" spans="1:18" x14ac:dyDescent="0.3">
      <c r="A1118" s="1855" t="s">
        <v>3323</v>
      </c>
      <c r="B1118" s="1462"/>
      <c r="C1118" s="1456">
        <v>140</v>
      </c>
      <c r="D1118" s="1456">
        <v>140</v>
      </c>
      <c r="E1118" s="1462"/>
      <c r="O1118" s="1541">
        <f t="shared" si="29"/>
        <v>0</v>
      </c>
      <c r="P1118" s="1541">
        <f t="shared" si="29"/>
        <v>140</v>
      </c>
      <c r="Q1118" s="1541">
        <f t="shared" si="29"/>
        <v>140</v>
      </c>
      <c r="R1118" s="1541">
        <f t="shared" si="29"/>
        <v>0</v>
      </c>
    </row>
    <row r="1119" spans="1:18" x14ac:dyDescent="0.3">
      <c r="A1119" s="1855" t="s">
        <v>3324</v>
      </c>
      <c r="B1119" s="1462"/>
      <c r="C1119" s="1456">
        <v>722</v>
      </c>
      <c r="D1119" s="1456">
        <v>722</v>
      </c>
      <c r="E1119" s="1462"/>
      <c r="O1119" s="1541">
        <f t="shared" si="29"/>
        <v>0</v>
      </c>
      <c r="P1119" s="1541">
        <f t="shared" si="29"/>
        <v>722</v>
      </c>
      <c r="Q1119" s="1541">
        <f t="shared" si="29"/>
        <v>722</v>
      </c>
      <c r="R1119" s="1541">
        <f t="shared" si="29"/>
        <v>0</v>
      </c>
    </row>
    <row r="1120" spans="1:18" x14ac:dyDescent="0.3">
      <c r="A1120" s="1855" t="s">
        <v>3325</v>
      </c>
      <c r="B1120" s="1462"/>
      <c r="C1120" s="1456">
        <v>6350</v>
      </c>
      <c r="D1120" s="1456">
        <v>6350</v>
      </c>
      <c r="E1120" s="1462"/>
      <c r="O1120" s="1541">
        <f t="shared" si="29"/>
        <v>0</v>
      </c>
      <c r="P1120" s="1541">
        <f t="shared" si="29"/>
        <v>6350</v>
      </c>
      <c r="Q1120" s="1541">
        <f t="shared" si="29"/>
        <v>6350</v>
      </c>
      <c r="R1120" s="1541">
        <f t="shared" si="29"/>
        <v>0</v>
      </c>
    </row>
    <row r="1121" spans="1:18" x14ac:dyDescent="0.3">
      <c r="A1121" s="1852" t="s">
        <v>3326</v>
      </c>
      <c r="B1121" s="1462"/>
      <c r="C1121" s="1456">
        <v>10488</v>
      </c>
      <c r="D1121" s="1456">
        <v>10488</v>
      </c>
      <c r="E1121" s="1462"/>
      <c r="O1121" s="1541">
        <f t="shared" si="29"/>
        <v>0</v>
      </c>
      <c r="P1121" s="1541">
        <f t="shared" si="29"/>
        <v>10488</v>
      </c>
      <c r="Q1121" s="1541">
        <f t="shared" si="29"/>
        <v>10488</v>
      </c>
      <c r="R1121" s="1541">
        <f t="shared" si="29"/>
        <v>0</v>
      </c>
    </row>
    <row r="1122" spans="1:18" x14ac:dyDescent="0.3">
      <c r="A1122" s="1852" t="s">
        <v>3327</v>
      </c>
      <c r="B1122" s="1462"/>
      <c r="C1122" s="1456">
        <v>17630</v>
      </c>
      <c r="D1122" s="1456">
        <v>17630</v>
      </c>
      <c r="E1122" s="1462"/>
      <c r="O1122" s="1541">
        <f t="shared" si="29"/>
        <v>0</v>
      </c>
      <c r="P1122" s="1541">
        <f t="shared" si="29"/>
        <v>17630</v>
      </c>
      <c r="Q1122" s="1541">
        <f t="shared" si="29"/>
        <v>17630</v>
      </c>
      <c r="R1122" s="1541">
        <f t="shared" si="29"/>
        <v>0</v>
      </c>
    </row>
    <row r="1123" spans="1:18" x14ac:dyDescent="0.3">
      <c r="A1123" s="1852" t="s">
        <v>3328</v>
      </c>
      <c r="B1123" s="1462"/>
      <c r="C1123" s="1456">
        <v>332</v>
      </c>
      <c r="D1123" s="1456">
        <v>332</v>
      </c>
      <c r="E1123" s="1462"/>
      <c r="O1123" s="1541">
        <f t="shared" si="29"/>
        <v>0</v>
      </c>
      <c r="P1123" s="1541">
        <f t="shared" si="29"/>
        <v>332</v>
      </c>
      <c r="Q1123" s="1541">
        <f t="shared" si="29"/>
        <v>332</v>
      </c>
      <c r="R1123" s="1541">
        <f t="shared" si="29"/>
        <v>0</v>
      </c>
    </row>
    <row r="1124" spans="1:18" x14ac:dyDescent="0.3">
      <c r="A1124" s="1852" t="s">
        <v>3329</v>
      </c>
      <c r="B1124" s="1462"/>
      <c r="C1124" s="1456">
        <v>1900</v>
      </c>
      <c r="D1124" s="1456">
        <v>1900</v>
      </c>
      <c r="E1124" s="1462"/>
      <c r="O1124" s="1541">
        <f t="shared" si="29"/>
        <v>0</v>
      </c>
      <c r="P1124" s="1541">
        <f t="shared" si="29"/>
        <v>1900</v>
      </c>
      <c r="Q1124" s="1541">
        <f t="shared" si="29"/>
        <v>1900</v>
      </c>
      <c r="R1124" s="1541">
        <f t="shared" si="29"/>
        <v>0</v>
      </c>
    </row>
    <row r="1125" spans="1:18" x14ac:dyDescent="0.3">
      <c r="A1125" s="1852" t="s">
        <v>3330</v>
      </c>
      <c r="B1125" s="1462"/>
      <c r="C1125" s="1456">
        <v>4416.01</v>
      </c>
      <c r="D1125" s="1456">
        <v>4416</v>
      </c>
      <c r="E1125" s="1896">
        <v>0.01</v>
      </c>
      <c r="O1125" s="1541">
        <f t="shared" si="29"/>
        <v>0</v>
      </c>
      <c r="P1125" s="1541">
        <f t="shared" si="29"/>
        <v>4416.01</v>
      </c>
      <c r="Q1125" s="1541">
        <f t="shared" si="29"/>
        <v>4416</v>
      </c>
      <c r="R1125" s="1541">
        <f t="shared" si="29"/>
        <v>0.01</v>
      </c>
    </row>
    <row r="1126" spans="1:18" x14ac:dyDescent="0.3">
      <c r="A1126" s="1852" t="s">
        <v>3331</v>
      </c>
      <c r="B1126" s="1462"/>
      <c r="C1126" s="1456">
        <v>9595</v>
      </c>
      <c r="D1126" s="1456">
        <v>9595</v>
      </c>
      <c r="E1126" s="1462"/>
      <c r="O1126" s="1541">
        <f t="shared" si="29"/>
        <v>0</v>
      </c>
      <c r="P1126" s="1541">
        <f t="shared" si="29"/>
        <v>9595</v>
      </c>
      <c r="Q1126" s="1541">
        <f t="shared" si="29"/>
        <v>9595</v>
      </c>
      <c r="R1126" s="1541">
        <f t="shared" si="29"/>
        <v>0</v>
      </c>
    </row>
    <row r="1127" spans="1:18" x14ac:dyDescent="0.3">
      <c r="A1127" s="1852" t="s">
        <v>3332</v>
      </c>
      <c r="B1127" s="1462"/>
      <c r="C1127" s="1456">
        <v>420</v>
      </c>
      <c r="D1127" s="1456">
        <v>420</v>
      </c>
      <c r="E1127" s="1462"/>
      <c r="O1127" s="1541">
        <f t="shared" si="29"/>
        <v>0</v>
      </c>
      <c r="P1127" s="1541">
        <f t="shared" si="29"/>
        <v>420</v>
      </c>
      <c r="Q1127" s="1541">
        <f t="shared" si="29"/>
        <v>420</v>
      </c>
      <c r="R1127" s="1541">
        <f t="shared" si="29"/>
        <v>0</v>
      </c>
    </row>
    <row r="1128" spans="1:18" x14ac:dyDescent="0.3">
      <c r="A1128" s="1852" t="s">
        <v>3333</v>
      </c>
      <c r="B1128" s="1462"/>
      <c r="C1128" s="1456">
        <v>57810</v>
      </c>
      <c r="D1128" s="1456">
        <v>57810</v>
      </c>
      <c r="E1128" s="1462"/>
      <c r="O1128" s="1541">
        <f t="shared" si="29"/>
        <v>0</v>
      </c>
      <c r="P1128" s="1541">
        <f t="shared" si="29"/>
        <v>57810</v>
      </c>
      <c r="Q1128" s="1541">
        <f t="shared" si="29"/>
        <v>57810</v>
      </c>
      <c r="R1128" s="1541">
        <f t="shared" si="29"/>
        <v>0</v>
      </c>
    </row>
    <row r="1129" spans="1:18" x14ac:dyDescent="0.3">
      <c r="A1129" s="1852" t="s">
        <v>3334</v>
      </c>
      <c r="B1129" s="1462"/>
      <c r="C1129" s="1456">
        <v>190</v>
      </c>
      <c r="D1129" s="1456">
        <v>190</v>
      </c>
      <c r="E1129" s="1462"/>
      <c r="O1129" s="1541">
        <f t="shared" si="29"/>
        <v>0</v>
      </c>
      <c r="P1129" s="1541">
        <f t="shared" si="29"/>
        <v>190</v>
      </c>
      <c r="Q1129" s="1541">
        <f t="shared" si="29"/>
        <v>190</v>
      </c>
      <c r="R1129" s="1541">
        <f t="shared" si="29"/>
        <v>0</v>
      </c>
    </row>
    <row r="1130" spans="1:18" x14ac:dyDescent="0.3">
      <c r="A1130" s="1852" t="s">
        <v>3335</v>
      </c>
      <c r="B1130" s="1462"/>
      <c r="C1130" s="1456">
        <v>140</v>
      </c>
      <c r="D1130" s="1456">
        <v>140</v>
      </c>
      <c r="E1130" s="1462"/>
      <c r="O1130" s="1541">
        <f t="shared" si="29"/>
        <v>0</v>
      </c>
      <c r="P1130" s="1541">
        <f t="shared" si="29"/>
        <v>140</v>
      </c>
      <c r="Q1130" s="1541">
        <f t="shared" si="29"/>
        <v>140</v>
      </c>
      <c r="R1130" s="1541">
        <f t="shared" si="29"/>
        <v>0</v>
      </c>
    </row>
    <row r="1131" spans="1:18" x14ac:dyDescent="0.3">
      <c r="A1131" s="1852" t="s">
        <v>3336</v>
      </c>
      <c r="B1131" s="1462"/>
      <c r="C1131" s="1456">
        <v>1940</v>
      </c>
      <c r="D1131" s="1456">
        <v>1940</v>
      </c>
      <c r="E1131" s="1462"/>
      <c r="O1131" s="1541">
        <f t="shared" si="29"/>
        <v>0</v>
      </c>
      <c r="P1131" s="1541">
        <f t="shared" si="29"/>
        <v>1940</v>
      </c>
      <c r="Q1131" s="1541">
        <f t="shared" si="29"/>
        <v>1940</v>
      </c>
      <c r="R1131" s="1541">
        <f t="shared" si="29"/>
        <v>0</v>
      </c>
    </row>
    <row r="1132" spans="1:18" x14ac:dyDescent="0.3">
      <c r="A1132" s="1852" t="s">
        <v>3338</v>
      </c>
      <c r="B1132" s="1462"/>
      <c r="C1132" s="1456">
        <v>7878</v>
      </c>
      <c r="D1132" s="1456">
        <v>7878</v>
      </c>
      <c r="E1132" s="1462"/>
      <c r="O1132" s="1541">
        <f t="shared" si="29"/>
        <v>0</v>
      </c>
      <c r="P1132" s="1541">
        <f t="shared" si="29"/>
        <v>7878</v>
      </c>
      <c r="Q1132" s="1541">
        <f t="shared" si="29"/>
        <v>7878</v>
      </c>
      <c r="R1132" s="1541">
        <f t="shared" si="29"/>
        <v>0</v>
      </c>
    </row>
    <row r="1133" spans="1:18" x14ac:dyDescent="0.3">
      <c r="A1133" s="1855" t="s">
        <v>3339</v>
      </c>
      <c r="B1133" s="1462"/>
      <c r="C1133" s="1456">
        <v>9296</v>
      </c>
      <c r="D1133" s="1456">
        <v>9296</v>
      </c>
      <c r="E1133" s="1462"/>
      <c r="O1133" s="1541">
        <f t="shared" si="29"/>
        <v>0</v>
      </c>
      <c r="P1133" s="1541">
        <f t="shared" si="29"/>
        <v>9296</v>
      </c>
      <c r="Q1133" s="1541">
        <f t="shared" si="29"/>
        <v>9296</v>
      </c>
      <c r="R1133" s="1541">
        <f t="shared" si="29"/>
        <v>0</v>
      </c>
    </row>
    <row r="1134" spans="1:18" x14ac:dyDescent="0.3">
      <c r="A1134" s="1852" t="s">
        <v>3340</v>
      </c>
      <c r="B1134" s="1462"/>
      <c r="C1134" s="1456">
        <v>1370</v>
      </c>
      <c r="D1134" s="1456">
        <v>1370</v>
      </c>
      <c r="E1134" s="1462"/>
      <c r="O1134" s="1541">
        <f t="shared" si="29"/>
        <v>0</v>
      </c>
      <c r="P1134" s="1541">
        <f t="shared" si="29"/>
        <v>1370</v>
      </c>
      <c r="Q1134" s="1541">
        <f t="shared" si="29"/>
        <v>1370</v>
      </c>
      <c r="R1134" s="1541">
        <f t="shared" ref="R1134:R1197" si="30">E1134+L1134</f>
        <v>0</v>
      </c>
    </row>
    <row r="1135" spans="1:18" x14ac:dyDescent="0.3">
      <c r="A1135" s="1852" t="s">
        <v>3341</v>
      </c>
      <c r="B1135" s="1462"/>
      <c r="C1135" s="1456">
        <v>14511</v>
      </c>
      <c r="D1135" s="1456">
        <v>14511</v>
      </c>
      <c r="E1135" s="1462"/>
      <c r="O1135" s="1541">
        <f t="shared" ref="O1135:R1198" si="31">B1135+I1135</f>
        <v>0</v>
      </c>
      <c r="P1135" s="1541">
        <f t="shared" si="31"/>
        <v>14511</v>
      </c>
      <c r="Q1135" s="1541">
        <f t="shared" si="31"/>
        <v>14511</v>
      </c>
      <c r="R1135" s="1541">
        <f t="shared" si="30"/>
        <v>0</v>
      </c>
    </row>
    <row r="1136" spans="1:18" x14ac:dyDescent="0.3">
      <c r="A1136" s="1855" t="s">
        <v>3342</v>
      </c>
      <c r="B1136" s="1462"/>
      <c r="C1136" s="1456">
        <v>900</v>
      </c>
      <c r="D1136" s="1456">
        <v>900</v>
      </c>
      <c r="E1136" s="1462"/>
      <c r="O1136" s="1541">
        <f t="shared" si="31"/>
        <v>0</v>
      </c>
      <c r="P1136" s="1541">
        <f t="shared" si="31"/>
        <v>900</v>
      </c>
      <c r="Q1136" s="1541">
        <f t="shared" si="31"/>
        <v>900</v>
      </c>
      <c r="R1136" s="1541">
        <f t="shared" si="30"/>
        <v>0</v>
      </c>
    </row>
    <row r="1137" spans="1:18" x14ac:dyDescent="0.3">
      <c r="A1137" s="1855" t="s">
        <v>3343</v>
      </c>
      <c r="B1137" s="1462"/>
      <c r="C1137" s="1456">
        <v>2998</v>
      </c>
      <c r="D1137" s="1456">
        <v>2998</v>
      </c>
      <c r="E1137" s="1462"/>
      <c r="O1137" s="1541">
        <f t="shared" si="31"/>
        <v>0</v>
      </c>
      <c r="P1137" s="1541">
        <f t="shared" si="31"/>
        <v>2998</v>
      </c>
      <c r="Q1137" s="1541">
        <f t="shared" si="31"/>
        <v>2998</v>
      </c>
      <c r="R1137" s="1541">
        <f t="shared" si="30"/>
        <v>0</v>
      </c>
    </row>
    <row r="1138" spans="1:18" x14ac:dyDescent="0.3">
      <c r="A1138" s="1852" t="s">
        <v>3344</v>
      </c>
      <c r="B1138" s="1462"/>
      <c r="C1138" s="1456">
        <v>2302</v>
      </c>
      <c r="D1138" s="1456">
        <v>2302</v>
      </c>
      <c r="E1138" s="1462"/>
      <c r="O1138" s="1541">
        <f t="shared" si="31"/>
        <v>0</v>
      </c>
      <c r="P1138" s="1541">
        <f t="shared" si="31"/>
        <v>2302</v>
      </c>
      <c r="Q1138" s="1541">
        <f t="shared" si="31"/>
        <v>2302</v>
      </c>
      <c r="R1138" s="1541">
        <f t="shared" si="30"/>
        <v>0</v>
      </c>
    </row>
    <row r="1139" spans="1:18" x14ac:dyDescent="0.3">
      <c r="A1139" s="1852" t="s">
        <v>3345</v>
      </c>
      <c r="B1139" s="1462"/>
      <c r="C1139" s="1456">
        <v>760</v>
      </c>
      <c r="D1139" s="1456">
        <v>760</v>
      </c>
      <c r="E1139" s="1462"/>
      <c r="O1139" s="1541">
        <f t="shared" si="31"/>
        <v>0</v>
      </c>
      <c r="P1139" s="1541">
        <f t="shared" si="31"/>
        <v>760</v>
      </c>
      <c r="Q1139" s="1541">
        <f t="shared" si="31"/>
        <v>760</v>
      </c>
      <c r="R1139" s="1541">
        <f t="shared" si="30"/>
        <v>0</v>
      </c>
    </row>
    <row r="1140" spans="1:18" x14ac:dyDescent="0.3">
      <c r="A1140" s="1852" t="s">
        <v>3346</v>
      </c>
      <c r="B1140" s="1462"/>
      <c r="C1140" s="1456">
        <v>199330.02</v>
      </c>
      <c r="D1140" s="1456">
        <v>199329.92000000001</v>
      </c>
      <c r="E1140" s="1896">
        <v>0.1</v>
      </c>
      <c r="O1140" s="1541">
        <f t="shared" si="31"/>
        <v>0</v>
      </c>
      <c r="P1140" s="1541">
        <f t="shared" si="31"/>
        <v>199330.02</v>
      </c>
      <c r="Q1140" s="1541">
        <f t="shared" si="31"/>
        <v>199329.92000000001</v>
      </c>
      <c r="R1140" s="1541">
        <f t="shared" si="30"/>
        <v>0.1</v>
      </c>
    </row>
    <row r="1141" spans="1:18" x14ac:dyDescent="0.3">
      <c r="A1141" s="1852" t="s">
        <v>3347</v>
      </c>
      <c r="B1141" s="1462"/>
      <c r="C1141" s="1456">
        <v>2978</v>
      </c>
      <c r="D1141" s="1456">
        <v>2978</v>
      </c>
      <c r="E1141" s="1462"/>
      <c r="O1141" s="1541">
        <f t="shared" si="31"/>
        <v>0</v>
      </c>
      <c r="P1141" s="1541">
        <f t="shared" si="31"/>
        <v>2978</v>
      </c>
      <c r="Q1141" s="1541">
        <f t="shared" si="31"/>
        <v>2978</v>
      </c>
      <c r="R1141" s="1541">
        <f t="shared" si="30"/>
        <v>0</v>
      </c>
    </row>
    <row r="1142" spans="1:18" x14ac:dyDescent="0.3">
      <c r="A1142" s="1852" t="s">
        <v>3348</v>
      </c>
      <c r="B1142" s="1462"/>
      <c r="C1142" s="1456">
        <v>770</v>
      </c>
      <c r="D1142" s="1456">
        <v>770</v>
      </c>
      <c r="E1142" s="1462"/>
      <c r="O1142" s="1541">
        <f t="shared" si="31"/>
        <v>0</v>
      </c>
      <c r="P1142" s="1541">
        <f t="shared" si="31"/>
        <v>770</v>
      </c>
      <c r="Q1142" s="1541">
        <f t="shared" si="31"/>
        <v>770</v>
      </c>
      <c r="R1142" s="1541">
        <f t="shared" si="30"/>
        <v>0</v>
      </c>
    </row>
    <row r="1143" spans="1:18" x14ac:dyDescent="0.3">
      <c r="A1143" s="1852" t="s">
        <v>3349</v>
      </c>
      <c r="B1143" s="1462"/>
      <c r="C1143" s="1456">
        <v>200</v>
      </c>
      <c r="D1143" s="1456">
        <v>200</v>
      </c>
      <c r="E1143" s="1462"/>
      <c r="O1143" s="1541">
        <f t="shared" si="31"/>
        <v>0</v>
      </c>
      <c r="P1143" s="1541">
        <f t="shared" si="31"/>
        <v>200</v>
      </c>
      <c r="Q1143" s="1541">
        <f t="shared" si="31"/>
        <v>200</v>
      </c>
      <c r="R1143" s="1541">
        <f t="shared" si="30"/>
        <v>0</v>
      </c>
    </row>
    <row r="1144" spans="1:18" x14ac:dyDescent="0.3">
      <c r="A1144" s="1852" t="s">
        <v>3350</v>
      </c>
      <c r="B1144" s="1462"/>
      <c r="C1144" s="1456">
        <v>306</v>
      </c>
      <c r="D1144" s="1456">
        <v>306</v>
      </c>
      <c r="E1144" s="1462"/>
      <c r="O1144" s="1541">
        <f t="shared" si="31"/>
        <v>0</v>
      </c>
      <c r="P1144" s="1541">
        <f t="shared" si="31"/>
        <v>306</v>
      </c>
      <c r="Q1144" s="1541">
        <f t="shared" si="31"/>
        <v>306</v>
      </c>
      <c r="R1144" s="1541">
        <f t="shared" si="30"/>
        <v>0</v>
      </c>
    </row>
    <row r="1145" spans="1:18" x14ac:dyDescent="0.3">
      <c r="A1145" s="1852" t="s">
        <v>3351</v>
      </c>
      <c r="B1145" s="1462"/>
      <c r="C1145" s="1456">
        <v>7830</v>
      </c>
      <c r="D1145" s="1456">
        <v>7830</v>
      </c>
      <c r="E1145" s="1462"/>
      <c r="O1145" s="1541">
        <f t="shared" si="31"/>
        <v>0</v>
      </c>
      <c r="P1145" s="1541">
        <f t="shared" si="31"/>
        <v>7830</v>
      </c>
      <c r="Q1145" s="1541">
        <f t="shared" si="31"/>
        <v>7830</v>
      </c>
      <c r="R1145" s="1541">
        <f t="shared" si="30"/>
        <v>0</v>
      </c>
    </row>
    <row r="1146" spans="1:18" x14ac:dyDescent="0.3">
      <c r="A1146" s="1852" t="s">
        <v>3352</v>
      </c>
      <c r="B1146" s="1462"/>
      <c r="C1146" s="1456">
        <v>20206</v>
      </c>
      <c r="D1146" s="1456">
        <v>20206</v>
      </c>
      <c r="E1146" s="1462"/>
      <c r="O1146" s="1541">
        <f t="shared" si="31"/>
        <v>0</v>
      </c>
      <c r="P1146" s="1541">
        <f t="shared" si="31"/>
        <v>20206</v>
      </c>
      <c r="Q1146" s="1541">
        <f t="shared" si="31"/>
        <v>20206</v>
      </c>
      <c r="R1146" s="1541">
        <f t="shared" si="30"/>
        <v>0</v>
      </c>
    </row>
    <row r="1147" spans="1:18" x14ac:dyDescent="0.3">
      <c r="A1147" s="1852" t="s">
        <v>3353</v>
      </c>
      <c r="B1147" s="1462"/>
      <c r="C1147" s="1456">
        <v>2050</v>
      </c>
      <c r="D1147" s="1456">
        <v>2050</v>
      </c>
      <c r="E1147" s="1462"/>
      <c r="O1147" s="1541">
        <f t="shared" si="31"/>
        <v>0</v>
      </c>
      <c r="P1147" s="1541">
        <f t="shared" si="31"/>
        <v>2050</v>
      </c>
      <c r="Q1147" s="1541">
        <f t="shared" si="31"/>
        <v>2050</v>
      </c>
      <c r="R1147" s="1541">
        <f t="shared" si="30"/>
        <v>0</v>
      </c>
    </row>
    <row r="1148" spans="1:18" x14ac:dyDescent="0.3">
      <c r="A1148" s="1852" t="s">
        <v>3354</v>
      </c>
      <c r="B1148" s="1462"/>
      <c r="C1148" s="1456">
        <v>830</v>
      </c>
      <c r="D1148" s="1456">
        <v>830</v>
      </c>
      <c r="E1148" s="1462"/>
      <c r="O1148" s="1541">
        <f t="shared" si="31"/>
        <v>0</v>
      </c>
      <c r="P1148" s="1541">
        <f t="shared" si="31"/>
        <v>830</v>
      </c>
      <c r="Q1148" s="1541">
        <f t="shared" si="31"/>
        <v>830</v>
      </c>
      <c r="R1148" s="1541">
        <f t="shared" si="30"/>
        <v>0</v>
      </c>
    </row>
    <row r="1149" spans="1:18" x14ac:dyDescent="0.3">
      <c r="A1149" s="1855" t="s">
        <v>3355</v>
      </c>
      <c r="B1149" s="1462"/>
      <c r="C1149" s="1456">
        <v>99000</v>
      </c>
      <c r="D1149" s="1456">
        <v>98840</v>
      </c>
      <c r="E1149" s="1896">
        <v>160</v>
      </c>
      <c r="O1149" s="1541">
        <f t="shared" si="31"/>
        <v>0</v>
      </c>
      <c r="P1149" s="1541">
        <f t="shared" si="31"/>
        <v>99000</v>
      </c>
      <c r="Q1149" s="1541">
        <f t="shared" si="31"/>
        <v>98840</v>
      </c>
      <c r="R1149" s="1541">
        <f t="shared" si="30"/>
        <v>160</v>
      </c>
    </row>
    <row r="1150" spans="1:18" x14ac:dyDescent="0.3">
      <c r="A1150" s="1852" t="s">
        <v>3356</v>
      </c>
      <c r="B1150" s="1462"/>
      <c r="C1150" s="1456">
        <v>3135</v>
      </c>
      <c r="D1150" s="1456">
        <v>3135</v>
      </c>
      <c r="E1150" s="1462"/>
      <c r="O1150" s="1541">
        <f t="shared" si="31"/>
        <v>0</v>
      </c>
      <c r="P1150" s="1541">
        <f t="shared" si="31"/>
        <v>3135</v>
      </c>
      <c r="Q1150" s="1541">
        <f t="shared" si="31"/>
        <v>3135</v>
      </c>
      <c r="R1150" s="1541">
        <f t="shared" si="30"/>
        <v>0</v>
      </c>
    </row>
    <row r="1151" spans="1:18" x14ac:dyDescent="0.3">
      <c r="A1151" s="1852" t="s">
        <v>3357</v>
      </c>
      <c r="B1151" s="1462"/>
      <c r="C1151" s="1456">
        <v>3122</v>
      </c>
      <c r="D1151" s="1456">
        <v>3122</v>
      </c>
      <c r="E1151" s="1462"/>
      <c r="O1151" s="1541">
        <f t="shared" si="31"/>
        <v>0</v>
      </c>
      <c r="P1151" s="1541">
        <f t="shared" si="31"/>
        <v>3122</v>
      </c>
      <c r="Q1151" s="1541">
        <f t="shared" si="31"/>
        <v>3122</v>
      </c>
      <c r="R1151" s="1541">
        <f t="shared" si="30"/>
        <v>0</v>
      </c>
    </row>
    <row r="1152" spans="1:18" x14ac:dyDescent="0.3">
      <c r="A1152" s="1852" t="s">
        <v>3358</v>
      </c>
      <c r="B1152" s="1462"/>
      <c r="C1152" s="1456">
        <v>210</v>
      </c>
      <c r="D1152" s="1456">
        <v>210</v>
      </c>
      <c r="E1152" s="1462"/>
      <c r="O1152" s="1541">
        <f t="shared" si="31"/>
        <v>0</v>
      </c>
      <c r="P1152" s="1541">
        <f t="shared" si="31"/>
        <v>210</v>
      </c>
      <c r="Q1152" s="1541">
        <f t="shared" si="31"/>
        <v>210</v>
      </c>
      <c r="R1152" s="1541">
        <f t="shared" si="30"/>
        <v>0</v>
      </c>
    </row>
    <row r="1153" spans="1:18" x14ac:dyDescent="0.3">
      <c r="A1153" s="1852" t="s">
        <v>3359</v>
      </c>
      <c r="B1153" s="1462"/>
      <c r="C1153" s="1456">
        <v>1250</v>
      </c>
      <c r="D1153" s="1456">
        <v>1250</v>
      </c>
      <c r="E1153" s="1462"/>
      <c r="O1153" s="1541">
        <f t="shared" si="31"/>
        <v>0</v>
      </c>
      <c r="P1153" s="1541">
        <f t="shared" si="31"/>
        <v>1250</v>
      </c>
      <c r="Q1153" s="1541">
        <f t="shared" si="31"/>
        <v>1250</v>
      </c>
      <c r="R1153" s="1541">
        <f t="shared" si="30"/>
        <v>0</v>
      </c>
    </row>
    <row r="1154" spans="1:18" x14ac:dyDescent="0.3">
      <c r="A1154" s="1852" t="s">
        <v>3360</v>
      </c>
      <c r="B1154" s="1462"/>
      <c r="C1154" s="1456">
        <v>20946</v>
      </c>
      <c r="D1154" s="1456">
        <v>20946</v>
      </c>
      <c r="E1154" s="1462"/>
      <c r="O1154" s="1541">
        <f t="shared" si="31"/>
        <v>0</v>
      </c>
      <c r="P1154" s="1541">
        <f t="shared" si="31"/>
        <v>20946</v>
      </c>
      <c r="Q1154" s="1541">
        <f t="shared" si="31"/>
        <v>20946</v>
      </c>
      <c r="R1154" s="1541">
        <f t="shared" si="30"/>
        <v>0</v>
      </c>
    </row>
    <row r="1155" spans="1:18" x14ac:dyDescent="0.3">
      <c r="A1155" s="1852" t="s">
        <v>3361</v>
      </c>
      <c r="B1155" s="1462"/>
      <c r="C1155" s="1456">
        <v>31267</v>
      </c>
      <c r="D1155" s="1456">
        <v>31267</v>
      </c>
      <c r="E1155" s="1462"/>
      <c r="O1155" s="1541">
        <f t="shared" si="31"/>
        <v>0</v>
      </c>
      <c r="P1155" s="1541">
        <f t="shared" si="31"/>
        <v>31267</v>
      </c>
      <c r="Q1155" s="1541">
        <f t="shared" si="31"/>
        <v>31267</v>
      </c>
      <c r="R1155" s="1541">
        <f t="shared" si="30"/>
        <v>0</v>
      </c>
    </row>
    <row r="1156" spans="1:18" x14ac:dyDescent="0.3">
      <c r="A1156" s="1852" t="s">
        <v>3362</v>
      </c>
      <c r="B1156" s="1462"/>
      <c r="C1156" s="1456">
        <v>7874</v>
      </c>
      <c r="D1156" s="1456">
        <v>7874</v>
      </c>
      <c r="E1156" s="1462"/>
      <c r="O1156" s="1541">
        <f t="shared" si="31"/>
        <v>0</v>
      </c>
      <c r="P1156" s="1541">
        <f t="shared" si="31"/>
        <v>7874</v>
      </c>
      <c r="Q1156" s="1541">
        <f t="shared" si="31"/>
        <v>7874</v>
      </c>
      <c r="R1156" s="1541">
        <f t="shared" si="30"/>
        <v>0</v>
      </c>
    </row>
    <row r="1157" spans="1:18" x14ac:dyDescent="0.3">
      <c r="A1157" s="1852" t="s">
        <v>3363</v>
      </c>
      <c r="B1157" s="1462"/>
      <c r="C1157" s="1456">
        <v>6304</v>
      </c>
      <c r="D1157" s="1456">
        <v>6304</v>
      </c>
      <c r="E1157" s="1462"/>
      <c r="O1157" s="1541">
        <f t="shared" si="31"/>
        <v>0</v>
      </c>
      <c r="P1157" s="1541">
        <f t="shared" si="31"/>
        <v>6304</v>
      </c>
      <c r="Q1157" s="1541">
        <f t="shared" si="31"/>
        <v>6304</v>
      </c>
      <c r="R1157" s="1541">
        <f t="shared" si="30"/>
        <v>0</v>
      </c>
    </row>
    <row r="1158" spans="1:18" x14ac:dyDescent="0.3">
      <c r="A1158" s="1852" t="s">
        <v>3364</v>
      </c>
      <c r="B1158" s="1462"/>
      <c r="C1158" s="1456">
        <v>1654</v>
      </c>
      <c r="D1158" s="1456">
        <v>1654</v>
      </c>
      <c r="E1158" s="1462"/>
      <c r="O1158" s="1541">
        <f t="shared" si="31"/>
        <v>0</v>
      </c>
      <c r="P1158" s="1541">
        <f t="shared" si="31"/>
        <v>1654</v>
      </c>
      <c r="Q1158" s="1541">
        <f t="shared" si="31"/>
        <v>1654</v>
      </c>
      <c r="R1158" s="1541">
        <f t="shared" si="30"/>
        <v>0</v>
      </c>
    </row>
    <row r="1159" spans="1:18" x14ac:dyDescent="0.3">
      <c r="A1159" s="1852" t="s">
        <v>3365</v>
      </c>
      <c r="B1159" s="1462"/>
      <c r="C1159" s="1456">
        <v>17313</v>
      </c>
      <c r="D1159" s="1456">
        <v>17313</v>
      </c>
      <c r="E1159" s="1462"/>
      <c r="O1159" s="1541">
        <f t="shared" si="31"/>
        <v>0</v>
      </c>
      <c r="P1159" s="1541">
        <f t="shared" si="31"/>
        <v>17313</v>
      </c>
      <c r="Q1159" s="1541">
        <f t="shared" si="31"/>
        <v>17313</v>
      </c>
      <c r="R1159" s="1541">
        <f t="shared" si="30"/>
        <v>0</v>
      </c>
    </row>
    <row r="1160" spans="1:18" x14ac:dyDescent="0.3">
      <c r="A1160" s="1852" t="s">
        <v>3366</v>
      </c>
      <c r="B1160" s="1462"/>
      <c r="C1160" s="1456">
        <v>812</v>
      </c>
      <c r="D1160" s="1456">
        <v>1624</v>
      </c>
      <c r="E1160" s="1471">
        <v>-812</v>
      </c>
      <c r="O1160" s="1541">
        <f t="shared" si="31"/>
        <v>0</v>
      </c>
      <c r="P1160" s="1541">
        <f t="shared" si="31"/>
        <v>812</v>
      </c>
      <c r="Q1160" s="1541">
        <f t="shared" si="31"/>
        <v>1624</v>
      </c>
      <c r="R1160" s="1541">
        <f t="shared" si="30"/>
        <v>-812</v>
      </c>
    </row>
    <row r="1161" spans="1:18" x14ac:dyDescent="0.3">
      <c r="A1161" s="1852" t="s">
        <v>3367</v>
      </c>
      <c r="B1161" s="1462"/>
      <c r="C1161" s="1456">
        <v>5224</v>
      </c>
      <c r="D1161" s="1456">
        <v>5224</v>
      </c>
      <c r="E1161" s="1462"/>
      <c r="O1161" s="1541">
        <f t="shared" si="31"/>
        <v>0</v>
      </c>
      <c r="P1161" s="1541">
        <f t="shared" si="31"/>
        <v>5224</v>
      </c>
      <c r="Q1161" s="1541">
        <f t="shared" si="31"/>
        <v>5224</v>
      </c>
      <c r="R1161" s="1541">
        <f t="shared" si="30"/>
        <v>0</v>
      </c>
    </row>
    <row r="1162" spans="1:18" x14ac:dyDescent="0.3">
      <c r="A1162" s="1852" t="s">
        <v>3368</v>
      </c>
      <c r="B1162" s="1462"/>
      <c r="C1162" s="1456">
        <v>62318</v>
      </c>
      <c r="D1162" s="1456">
        <v>58558</v>
      </c>
      <c r="E1162" s="1896">
        <v>3760</v>
      </c>
      <c r="O1162" s="1541">
        <f t="shared" si="31"/>
        <v>0</v>
      </c>
      <c r="P1162" s="1541">
        <f t="shared" si="31"/>
        <v>62318</v>
      </c>
      <c r="Q1162" s="1541">
        <f t="shared" si="31"/>
        <v>58558</v>
      </c>
      <c r="R1162" s="1541">
        <f t="shared" si="30"/>
        <v>3760</v>
      </c>
    </row>
    <row r="1163" spans="1:18" x14ac:dyDescent="0.3">
      <c r="A1163" s="1852" t="s">
        <v>3369</v>
      </c>
      <c r="B1163" s="1462"/>
      <c r="C1163" s="1456">
        <v>3034</v>
      </c>
      <c r="D1163" s="1456">
        <v>3034</v>
      </c>
      <c r="E1163" s="1462"/>
      <c r="O1163" s="1541">
        <f t="shared" si="31"/>
        <v>0</v>
      </c>
      <c r="P1163" s="1541">
        <f t="shared" si="31"/>
        <v>3034</v>
      </c>
      <c r="Q1163" s="1541">
        <f t="shared" si="31"/>
        <v>3034</v>
      </c>
      <c r="R1163" s="1541">
        <f t="shared" si="30"/>
        <v>0</v>
      </c>
    </row>
    <row r="1164" spans="1:18" x14ac:dyDescent="0.3">
      <c r="A1164" s="1852" t="s">
        <v>3370</v>
      </c>
      <c r="B1164" s="1462"/>
      <c r="C1164" s="1456">
        <v>4460</v>
      </c>
      <c r="D1164" s="1456">
        <v>5860</v>
      </c>
      <c r="E1164" s="1471">
        <v>-1400</v>
      </c>
      <c r="O1164" s="1541">
        <f t="shared" si="31"/>
        <v>0</v>
      </c>
      <c r="P1164" s="1541">
        <f t="shared" si="31"/>
        <v>4460</v>
      </c>
      <c r="Q1164" s="1541">
        <f t="shared" si="31"/>
        <v>5860</v>
      </c>
      <c r="R1164" s="1541">
        <f t="shared" si="30"/>
        <v>-1400</v>
      </c>
    </row>
    <row r="1165" spans="1:18" x14ac:dyDescent="0.3">
      <c r="A1165" s="1852" t="s">
        <v>3371</v>
      </c>
      <c r="B1165" s="1462"/>
      <c r="C1165" s="1456">
        <v>830</v>
      </c>
      <c r="D1165" s="1456">
        <v>830</v>
      </c>
      <c r="E1165" s="1462"/>
      <c r="O1165" s="1541">
        <f t="shared" si="31"/>
        <v>0</v>
      </c>
      <c r="P1165" s="1541">
        <f t="shared" si="31"/>
        <v>830</v>
      </c>
      <c r="Q1165" s="1541">
        <f t="shared" si="31"/>
        <v>830</v>
      </c>
      <c r="R1165" s="1541">
        <f t="shared" si="30"/>
        <v>0</v>
      </c>
    </row>
    <row r="1166" spans="1:18" x14ac:dyDescent="0.3">
      <c r="A1166" s="1852" t="s">
        <v>3372</v>
      </c>
      <c r="B1166" s="1462"/>
      <c r="C1166" s="1456">
        <v>24349</v>
      </c>
      <c r="D1166" s="1456">
        <v>24349</v>
      </c>
      <c r="E1166" s="1462"/>
      <c r="O1166" s="1541">
        <f t="shared" si="31"/>
        <v>0</v>
      </c>
      <c r="P1166" s="1541">
        <f t="shared" si="31"/>
        <v>24349</v>
      </c>
      <c r="Q1166" s="1541">
        <f t="shared" si="31"/>
        <v>24349</v>
      </c>
      <c r="R1166" s="1541">
        <f t="shared" si="30"/>
        <v>0</v>
      </c>
    </row>
    <row r="1167" spans="1:18" x14ac:dyDescent="0.3">
      <c r="A1167" s="1852" t="s">
        <v>3373</v>
      </c>
      <c r="B1167" s="1462"/>
      <c r="C1167" s="1456">
        <v>676</v>
      </c>
      <c r="D1167" s="1456">
        <v>676</v>
      </c>
      <c r="E1167" s="1462"/>
      <c r="O1167" s="1541">
        <f t="shared" si="31"/>
        <v>0</v>
      </c>
      <c r="P1167" s="1541">
        <f t="shared" si="31"/>
        <v>676</v>
      </c>
      <c r="Q1167" s="1541">
        <f t="shared" si="31"/>
        <v>676</v>
      </c>
      <c r="R1167" s="1541">
        <f t="shared" si="30"/>
        <v>0</v>
      </c>
    </row>
    <row r="1168" spans="1:18" x14ac:dyDescent="0.3">
      <c r="A1168" s="1852" t="s">
        <v>3374</v>
      </c>
      <c r="B1168" s="1462"/>
      <c r="C1168" s="1456">
        <v>2452</v>
      </c>
      <c r="D1168" s="1456">
        <v>2452</v>
      </c>
      <c r="E1168" s="1462"/>
      <c r="O1168" s="1541">
        <f t="shared" si="31"/>
        <v>0</v>
      </c>
      <c r="P1168" s="1541">
        <f t="shared" si="31"/>
        <v>2452</v>
      </c>
      <c r="Q1168" s="1541">
        <f t="shared" si="31"/>
        <v>2452</v>
      </c>
      <c r="R1168" s="1541">
        <f t="shared" si="30"/>
        <v>0</v>
      </c>
    </row>
    <row r="1169" spans="1:18" x14ac:dyDescent="0.3">
      <c r="A1169" s="1855" t="s">
        <v>3375</v>
      </c>
      <c r="B1169" s="1462"/>
      <c r="C1169" s="1456">
        <v>19200</v>
      </c>
      <c r="D1169" s="1456">
        <v>19200</v>
      </c>
      <c r="E1169" s="1462"/>
      <c r="O1169" s="1541">
        <f t="shared" si="31"/>
        <v>0</v>
      </c>
      <c r="P1169" s="1541">
        <f t="shared" si="31"/>
        <v>19200</v>
      </c>
      <c r="Q1169" s="1541">
        <f t="shared" si="31"/>
        <v>19200</v>
      </c>
      <c r="R1169" s="1541">
        <f t="shared" si="30"/>
        <v>0</v>
      </c>
    </row>
    <row r="1170" spans="1:18" x14ac:dyDescent="0.3">
      <c r="A1170" s="1852" t="s">
        <v>3376</v>
      </c>
      <c r="B1170" s="1462"/>
      <c r="C1170" s="1456">
        <v>5820</v>
      </c>
      <c r="D1170" s="1456">
        <v>5820</v>
      </c>
      <c r="E1170" s="1462"/>
      <c r="O1170" s="1541">
        <f t="shared" si="31"/>
        <v>0</v>
      </c>
      <c r="P1170" s="1541">
        <f t="shared" si="31"/>
        <v>5820</v>
      </c>
      <c r="Q1170" s="1541">
        <f t="shared" si="31"/>
        <v>5820</v>
      </c>
      <c r="R1170" s="1541">
        <f t="shared" si="30"/>
        <v>0</v>
      </c>
    </row>
    <row r="1171" spans="1:18" x14ac:dyDescent="0.3">
      <c r="A1171" s="1852" t="s">
        <v>3377</v>
      </c>
      <c r="B1171" s="1462"/>
      <c r="C1171" s="1456">
        <v>332</v>
      </c>
      <c r="D1171" s="1456">
        <v>332</v>
      </c>
      <c r="E1171" s="1462"/>
      <c r="O1171" s="1541">
        <f t="shared" si="31"/>
        <v>0</v>
      </c>
      <c r="P1171" s="1541">
        <f t="shared" si="31"/>
        <v>332</v>
      </c>
      <c r="Q1171" s="1541">
        <f t="shared" si="31"/>
        <v>332</v>
      </c>
      <c r="R1171" s="1541">
        <f t="shared" si="30"/>
        <v>0</v>
      </c>
    </row>
    <row r="1172" spans="1:18" x14ac:dyDescent="0.3">
      <c r="A1172" s="1855" t="s">
        <v>3378</v>
      </c>
      <c r="B1172" s="1462"/>
      <c r="C1172" s="1456">
        <v>14680</v>
      </c>
      <c r="D1172" s="1456">
        <v>14680</v>
      </c>
      <c r="E1172" s="1462"/>
      <c r="O1172" s="1541">
        <f t="shared" si="31"/>
        <v>0</v>
      </c>
      <c r="P1172" s="1541">
        <f t="shared" si="31"/>
        <v>14680</v>
      </c>
      <c r="Q1172" s="1541">
        <f t="shared" si="31"/>
        <v>14680</v>
      </c>
      <c r="R1172" s="1541">
        <f t="shared" si="30"/>
        <v>0</v>
      </c>
    </row>
    <row r="1173" spans="1:18" x14ac:dyDescent="0.3">
      <c r="A1173" s="1852" t="s">
        <v>3379</v>
      </c>
      <c r="B1173" s="1462"/>
      <c r="C1173" s="1456">
        <v>4440</v>
      </c>
      <c r="D1173" s="1456">
        <v>4440</v>
      </c>
      <c r="E1173" s="1462"/>
      <c r="O1173" s="1541">
        <f t="shared" si="31"/>
        <v>0</v>
      </c>
      <c r="P1173" s="1541">
        <f t="shared" si="31"/>
        <v>4440</v>
      </c>
      <c r="Q1173" s="1541">
        <f t="shared" si="31"/>
        <v>4440</v>
      </c>
      <c r="R1173" s="1541">
        <f t="shared" si="30"/>
        <v>0</v>
      </c>
    </row>
    <row r="1174" spans="1:18" x14ac:dyDescent="0.3">
      <c r="A1174" s="1855" t="s">
        <v>3380</v>
      </c>
      <c r="B1174" s="1462"/>
      <c r="C1174" s="1456">
        <v>2868</v>
      </c>
      <c r="D1174" s="1456">
        <v>2868</v>
      </c>
      <c r="E1174" s="1462"/>
      <c r="O1174" s="1541">
        <f t="shared" si="31"/>
        <v>0</v>
      </c>
      <c r="P1174" s="1541">
        <f t="shared" si="31"/>
        <v>2868</v>
      </c>
      <c r="Q1174" s="1541">
        <f t="shared" si="31"/>
        <v>2868</v>
      </c>
      <c r="R1174" s="1541">
        <f t="shared" si="30"/>
        <v>0</v>
      </c>
    </row>
    <row r="1175" spans="1:18" x14ac:dyDescent="0.3">
      <c r="A1175" s="1852" t="s">
        <v>3381</v>
      </c>
      <c r="B1175" s="1462"/>
      <c r="C1175" s="1456">
        <v>2822</v>
      </c>
      <c r="D1175" s="1456">
        <v>2822</v>
      </c>
      <c r="E1175" s="1462"/>
      <c r="O1175" s="1541">
        <f t="shared" si="31"/>
        <v>0</v>
      </c>
      <c r="P1175" s="1541">
        <f t="shared" si="31"/>
        <v>2822</v>
      </c>
      <c r="Q1175" s="1541">
        <f t="shared" si="31"/>
        <v>2822</v>
      </c>
      <c r="R1175" s="1541">
        <f t="shared" si="30"/>
        <v>0</v>
      </c>
    </row>
    <row r="1176" spans="1:18" x14ac:dyDescent="0.3">
      <c r="A1176" s="1852" t="s">
        <v>3382</v>
      </c>
      <c r="B1176" s="1462"/>
      <c r="C1176" s="1456">
        <v>2752</v>
      </c>
      <c r="D1176" s="1456">
        <v>2752</v>
      </c>
      <c r="E1176" s="1462"/>
      <c r="O1176" s="1541">
        <f t="shared" si="31"/>
        <v>0</v>
      </c>
      <c r="P1176" s="1541">
        <f t="shared" si="31"/>
        <v>2752</v>
      </c>
      <c r="Q1176" s="1541">
        <f t="shared" si="31"/>
        <v>2752</v>
      </c>
      <c r="R1176" s="1541">
        <f t="shared" si="30"/>
        <v>0</v>
      </c>
    </row>
    <row r="1177" spans="1:18" x14ac:dyDescent="0.3">
      <c r="A1177" s="1855" t="s">
        <v>3383</v>
      </c>
      <c r="B1177" s="1462"/>
      <c r="C1177" s="1456">
        <v>10080</v>
      </c>
      <c r="D1177" s="1456">
        <v>10080</v>
      </c>
      <c r="E1177" s="1462"/>
      <c r="O1177" s="1541">
        <f t="shared" si="31"/>
        <v>0</v>
      </c>
      <c r="P1177" s="1541">
        <f t="shared" si="31"/>
        <v>10080</v>
      </c>
      <c r="Q1177" s="1541">
        <f t="shared" si="31"/>
        <v>10080</v>
      </c>
      <c r="R1177" s="1541">
        <f t="shared" si="30"/>
        <v>0</v>
      </c>
    </row>
    <row r="1178" spans="1:18" x14ac:dyDescent="0.3">
      <c r="A1178" s="1852" t="s">
        <v>3384</v>
      </c>
      <c r="B1178" s="1462"/>
      <c r="C1178" s="1456">
        <v>13878</v>
      </c>
      <c r="D1178" s="1456">
        <v>13878</v>
      </c>
      <c r="E1178" s="1462"/>
      <c r="O1178" s="1541">
        <f t="shared" si="31"/>
        <v>0</v>
      </c>
      <c r="P1178" s="1541">
        <f t="shared" si="31"/>
        <v>13878</v>
      </c>
      <c r="Q1178" s="1541">
        <f t="shared" si="31"/>
        <v>13878</v>
      </c>
      <c r="R1178" s="1541">
        <f t="shared" si="30"/>
        <v>0</v>
      </c>
    </row>
    <row r="1179" spans="1:18" x14ac:dyDescent="0.3">
      <c r="A1179" s="1852" t="s">
        <v>3385</v>
      </c>
      <c r="B1179" s="1462"/>
      <c r="C1179" s="1456">
        <v>3520</v>
      </c>
      <c r="D1179" s="1456">
        <v>3520</v>
      </c>
      <c r="E1179" s="1462"/>
      <c r="O1179" s="1541">
        <f t="shared" si="31"/>
        <v>0</v>
      </c>
      <c r="P1179" s="1541">
        <f t="shared" si="31"/>
        <v>3520</v>
      </c>
      <c r="Q1179" s="1541">
        <f t="shared" si="31"/>
        <v>3520</v>
      </c>
      <c r="R1179" s="1541">
        <f t="shared" si="30"/>
        <v>0</v>
      </c>
    </row>
    <row r="1180" spans="1:18" x14ac:dyDescent="0.3">
      <c r="A1180" s="1855" t="s">
        <v>3386</v>
      </c>
      <c r="B1180" s="1462"/>
      <c r="C1180" s="1456">
        <v>5201</v>
      </c>
      <c r="D1180" s="1456">
        <v>5201</v>
      </c>
      <c r="E1180" s="1462"/>
      <c r="O1180" s="1541">
        <f t="shared" si="31"/>
        <v>0</v>
      </c>
      <c r="P1180" s="1541">
        <f t="shared" si="31"/>
        <v>5201</v>
      </c>
      <c r="Q1180" s="1541">
        <f t="shared" si="31"/>
        <v>5201</v>
      </c>
      <c r="R1180" s="1541">
        <f t="shared" si="30"/>
        <v>0</v>
      </c>
    </row>
    <row r="1181" spans="1:18" x14ac:dyDescent="0.3">
      <c r="A1181" s="1852" t="s">
        <v>3387</v>
      </c>
      <c r="B1181" s="1462"/>
      <c r="C1181" s="1456">
        <v>400</v>
      </c>
      <c r="D1181" s="1456">
        <v>400</v>
      </c>
      <c r="E1181" s="1462"/>
      <c r="O1181" s="1541">
        <f t="shared" si="31"/>
        <v>0</v>
      </c>
      <c r="P1181" s="1541">
        <f t="shared" si="31"/>
        <v>400</v>
      </c>
      <c r="Q1181" s="1541">
        <f t="shared" si="31"/>
        <v>400</v>
      </c>
      <c r="R1181" s="1541">
        <f t="shared" si="30"/>
        <v>0</v>
      </c>
    </row>
    <row r="1182" spans="1:18" x14ac:dyDescent="0.3">
      <c r="A1182" s="1852" t="s">
        <v>3388</v>
      </c>
      <c r="B1182" s="1462"/>
      <c r="C1182" s="1456">
        <v>1210</v>
      </c>
      <c r="D1182" s="1456">
        <v>1210</v>
      </c>
      <c r="E1182" s="1462"/>
      <c r="O1182" s="1541">
        <f t="shared" si="31"/>
        <v>0</v>
      </c>
      <c r="P1182" s="1541">
        <f t="shared" si="31"/>
        <v>1210</v>
      </c>
      <c r="Q1182" s="1541">
        <f t="shared" si="31"/>
        <v>1210</v>
      </c>
      <c r="R1182" s="1541">
        <f t="shared" si="30"/>
        <v>0</v>
      </c>
    </row>
    <row r="1183" spans="1:18" x14ac:dyDescent="0.3">
      <c r="A1183" s="1852" t="s">
        <v>3389</v>
      </c>
      <c r="B1183" s="1462"/>
      <c r="C1183" s="1456">
        <v>830</v>
      </c>
      <c r="D1183" s="1456">
        <v>830</v>
      </c>
      <c r="E1183" s="1462"/>
      <c r="O1183" s="1541">
        <f t="shared" si="31"/>
        <v>0</v>
      </c>
      <c r="P1183" s="1541">
        <f t="shared" si="31"/>
        <v>830</v>
      </c>
      <c r="Q1183" s="1541">
        <f t="shared" si="31"/>
        <v>830</v>
      </c>
      <c r="R1183" s="1541">
        <f t="shared" si="30"/>
        <v>0</v>
      </c>
    </row>
    <row r="1184" spans="1:18" x14ac:dyDescent="0.3">
      <c r="A1184" s="1852" t="s">
        <v>3390</v>
      </c>
      <c r="B1184" s="1462"/>
      <c r="C1184" s="1456">
        <v>700</v>
      </c>
      <c r="D1184" s="1456">
        <v>700</v>
      </c>
      <c r="E1184" s="1462"/>
      <c r="O1184" s="1541">
        <f t="shared" si="31"/>
        <v>0</v>
      </c>
      <c r="P1184" s="1541">
        <f t="shared" si="31"/>
        <v>700</v>
      </c>
      <c r="Q1184" s="1541">
        <f t="shared" si="31"/>
        <v>700</v>
      </c>
      <c r="R1184" s="1541">
        <f t="shared" si="30"/>
        <v>0</v>
      </c>
    </row>
    <row r="1185" spans="1:18" x14ac:dyDescent="0.3">
      <c r="A1185" s="1852" t="s">
        <v>3391</v>
      </c>
      <c r="B1185" s="1462"/>
      <c r="C1185" s="1456">
        <v>3216</v>
      </c>
      <c r="D1185" s="1456">
        <v>3216</v>
      </c>
      <c r="E1185" s="1462"/>
      <c r="O1185" s="1541">
        <f t="shared" si="31"/>
        <v>0</v>
      </c>
      <c r="P1185" s="1541">
        <f t="shared" si="31"/>
        <v>3216</v>
      </c>
      <c r="Q1185" s="1541">
        <f t="shared" si="31"/>
        <v>3216</v>
      </c>
      <c r="R1185" s="1541">
        <f t="shared" si="30"/>
        <v>0</v>
      </c>
    </row>
    <row r="1186" spans="1:18" x14ac:dyDescent="0.3">
      <c r="A1186" s="1852" t="s">
        <v>3392</v>
      </c>
      <c r="B1186" s="1462"/>
      <c r="C1186" s="1456">
        <v>3998</v>
      </c>
      <c r="D1186" s="1456">
        <v>3998</v>
      </c>
      <c r="E1186" s="1462"/>
      <c r="O1186" s="1541">
        <f t="shared" si="31"/>
        <v>0</v>
      </c>
      <c r="P1186" s="1541">
        <f t="shared" si="31"/>
        <v>3998</v>
      </c>
      <c r="Q1186" s="1541">
        <f t="shared" si="31"/>
        <v>3998</v>
      </c>
      <c r="R1186" s="1541">
        <f t="shared" si="30"/>
        <v>0</v>
      </c>
    </row>
    <row r="1187" spans="1:18" x14ac:dyDescent="0.3">
      <c r="A1187" s="1852" t="s">
        <v>3393</v>
      </c>
      <c r="B1187" s="1462"/>
      <c r="C1187" s="1456">
        <v>540</v>
      </c>
      <c r="D1187" s="1456">
        <v>540</v>
      </c>
      <c r="E1187" s="1462"/>
      <c r="O1187" s="1541">
        <f t="shared" si="31"/>
        <v>0</v>
      </c>
      <c r="P1187" s="1541">
        <f t="shared" si="31"/>
        <v>540</v>
      </c>
      <c r="Q1187" s="1541">
        <f t="shared" si="31"/>
        <v>540</v>
      </c>
      <c r="R1187" s="1541">
        <f t="shared" si="30"/>
        <v>0</v>
      </c>
    </row>
    <row r="1188" spans="1:18" x14ac:dyDescent="0.3">
      <c r="A1188" s="1852" t="s">
        <v>3394</v>
      </c>
      <c r="B1188" s="1462"/>
      <c r="C1188" s="1456">
        <v>1203</v>
      </c>
      <c r="D1188" s="1456">
        <v>1203</v>
      </c>
      <c r="E1188" s="1462"/>
      <c r="O1188" s="1541">
        <f t="shared" si="31"/>
        <v>0</v>
      </c>
      <c r="P1188" s="1541">
        <f t="shared" si="31"/>
        <v>1203</v>
      </c>
      <c r="Q1188" s="1541">
        <f t="shared" si="31"/>
        <v>1203</v>
      </c>
      <c r="R1188" s="1541">
        <f t="shared" si="30"/>
        <v>0</v>
      </c>
    </row>
    <row r="1189" spans="1:18" x14ac:dyDescent="0.3">
      <c r="A1189" s="1855" t="s">
        <v>3395</v>
      </c>
      <c r="B1189" s="1462"/>
      <c r="C1189" s="1456">
        <v>11367</v>
      </c>
      <c r="D1189" s="1456">
        <v>11367</v>
      </c>
      <c r="E1189" s="1462"/>
      <c r="O1189" s="1541">
        <f t="shared" si="31"/>
        <v>0</v>
      </c>
      <c r="P1189" s="1541">
        <f t="shared" si="31"/>
        <v>11367</v>
      </c>
      <c r="Q1189" s="1541">
        <f t="shared" si="31"/>
        <v>11367</v>
      </c>
      <c r="R1189" s="1541">
        <f t="shared" si="30"/>
        <v>0</v>
      </c>
    </row>
    <row r="1190" spans="1:18" x14ac:dyDescent="0.3">
      <c r="A1190" s="1852" t="s">
        <v>3396</v>
      </c>
      <c r="B1190" s="1462"/>
      <c r="C1190" s="1456">
        <v>140</v>
      </c>
      <c r="D1190" s="1456">
        <v>140</v>
      </c>
      <c r="E1190" s="1462"/>
      <c r="O1190" s="1541">
        <f t="shared" si="31"/>
        <v>0</v>
      </c>
      <c r="P1190" s="1541">
        <f t="shared" si="31"/>
        <v>140</v>
      </c>
      <c r="Q1190" s="1541">
        <f t="shared" si="31"/>
        <v>140</v>
      </c>
      <c r="R1190" s="1541">
        <f t="shared" si="30"/>
        <v>0</v>
      </c>
    </row>
    <row r="1191" spans="1:18" x14ac:dyDescent="0.3">
      <c r="A1191" s="1852" t="s">
        <v>3397</v>
      </c>
      <c r="B1191" s="1462"/>
      <c r="C1191" s="1456">
        <v>6556</v>
      </c>
      <c r="D1191" s="1456">
        <v>6556</v>
      </c>
      <c r="E1191" s="1462"/>
      <c r="O1191" s="1541">
        <f t="shared" si="31"/>
        <v>0</v>
      </c>
      <c r="P1191" s="1541">
        <f t="shared" si="31"/>
        <v>6556</v>
      </c>
      <c r="Q1191" s="1541">
        <f t="shared" si="31"/>
        <v>6556</v>
      </c>
      <c r="R1191" s="1541">
        <f t="shared" si="30"/>
        <v>0</v>
      </c>
    </row>
    <row r="1192" spans="1:18" x14ac:dyDescent="0.3">
      <c r="A1192" s="1852" t="s">
        <v>3398</v>
      </c>
      <c r="B1192" s="1462"/>
      <c r="C1192" s="1456">
        <v>330</v>
      </c>
      <c r="D1192" s="1456">
        <v>330</v>
      </c>
      <c r="E1192" s="1462"/>
      <c r="O1192" s="1541">
        <f t="shared" si="31"/>
        <v>0</v>
      </c>
      <c r="P1192" s="1541">
        <f t="shared" si="31"/>
        <v>330</v>
      </c>
      <c r="Q1192" s="1541">
        <f t="shared" si="31"/>
        <v>330</v>
      </c>
      <c r="R1192" s="1541">
        <f t="shared" si="30"/>
        <v>0</v>
      </c>
    </row>
    <row r="1193" spans="1:18" x14ac:dyDescent="0.3">
      <c r="A1193" s="1852" t="s">
        <v>3399</v>
      </c>
      <c r="B1193" s="1462"/>
      <c r="C1193" s="1456">
        <v>320</v>
      </c>
      <c r="D1193" s="1456">
        <v>320</v>
      </c>
      <c r="E1193" s="1462"/>
      <c r="O1193" s="1541">
        <f t="shared" si="31"/>
        <v>0</v>
      </c>
      <c r="P1193" s="1541">
        <f t="shared" si="31"/>
        <v>320</v>
      </c>
      <c r="Q1193" s="1541">
        <f t="shared" si="31"/>
        <v>320</v>
      </c>
      <c r="R1193" s="1541">
        <f t="shared" si="30"/>
        <v>0</v>
      </c>
    </row>
    <row r="1194" spans="1:18" x14ac:dyDescent="0.3">
      <c r="A1194" s="1852" t="s">
        <v>3400</v>
      </c>
      <c r="B1194" s="1462"/>
      <c r="C1194" s="1456">
        <v>14680</v>
      </c>
      <c r="D1194" s="1456">
        <v>14680</v>
      </c>
      <c r="E1194" s="1462"/>
      <c r="O1194" s="1541">
        <f t="shared" si="31"/>
        <v>0</v>
      </c>
      <c r="P1194" s="1541">
        <f t="shared" si="31"/>
        <v>14680</v>
      </c>
      <c r="Q1194" s="1541">
        <f t="shared" si="31"/>
        <v>14680</v>
      </c>
      <c r="R1194" s="1541">
        <f t="shared" si="30"/>
        <v>0</v>
      </c>
    </row>
    <row r="1195" spans="1:18" x14ac:dyDescent="0.3">
      <c r="A1195" s="1852" t="s">
        <v>3401</v>
      </c>
      <c r="B1195" s="1462"/>
      <c r="C1195" s="1456">
        <v>380</v>
      </c>
      <c r="D1195" s="1456">
        <v>380</v>
      </c>
      <c r="E1195" s="1462"/>
      <c r="O1195" s="1541">
        <f t="shared" si="31"/>
        <v>0</v>
      </c>
      <c r="P1195" s="1541">
        <f t="shared" si="31"/>
        <v>380</v>
      </c>
      <c r="Q1195" s="1541">
        <f t="shared" si="31"/>
        <v>380</v>
      </c>
      <c r="R1195" s="1541">
        <f t="shared" si="30"/>
        <v>0</v>
      </c>
    </row>
    <row r="1196" spans="1:18" x14ac:dyDescent="0.3">
      <c r="A1196" s="1855" t="s">
        <v>3402</v>
      </c>
      <c r="B1196" s="1462"/>
      <c r="C1196" s="1456">
        <v>622</v>
      </c>
      <c r="D1196" s="1456">
        <v>622</v>
      </c>
      <c r="E1196" s="1462"/>
      <c r="O1196" s="1541">
        <f t="shared" si="31"/>
        <v>0</v>
      </c>
      <c r="P1196" s="1541">
        <f t="shared" si="31"/>
        <v>622</v>
      </c>
      <c r="Q1196" s="1541">
        <f t="shared" si="31"/>
        <v>622</v>
      </c>
      <c r="R1196" s="1541">
        <f t="shared" si="30"/>
        <v>0</v>
      </c>
    </row>
    <row r="1197" spans="1:18" x14ac:dyDescent="0.3">
      <c r="A1197" s="1852" t="s">
        <v>3403</v>
      </c>
      <c r="B1197" s="1462"/>
      <c r="C1197" s="1456">
        <v>506</v>
      </c>
      <c r="D1197" s="1456">
        <v>506</v>
      </c>
      <c r="E1197" s="1462"/>
      <c r="O1197" s="1541">
        <f t="shared" si="31"/>
        <v>0</v>
      </c>
      <c r="P1197" s="1541">
        <f t="shared" si="31"/>
        <v>506</v>
      </c>
      <c r="Q1197" s="1541">
        <f t="shared" si="31"/>
        <v>506</v>
      </c>
      <c r="R1197" s="1541">
        <f t="shared" si="30"/>
        <v>0</v>
      </c>
    </row>
    <row r="1198" spans="1:18" x14ac:dyDescent="0.3">
      <c r="A1198" s="1855" t="s">
        <v>3404</v>
      </c>
      <c r="B1198" s="1462"/>
      <c r="C1198" s="1456">
        <v>12700</v>
      </c>
      <c r="D1198" s="1456">
        <v>12700</v>
      </c>
      <c r="E1198" s="1462"/>
      <c r="O1198" s="1541">
        <f t="shared" si="31"/>
        <v>0</v>
      </c>
      <c r="P1198" s="1541">
        <f t="shared" si="31"/>
        <v>12700</v>
      </c>
      <c r="Q1198" s="1541">
        <f t="shared" si="31"/>
        <v>12700</v>
      </c>
      <c r="R1198" s="1541">
        <f t="shared" si="31"/>
        <v>0</v>
      </c>
    </row>
    <row r="1199" spans="1:18" x14ac:dyDescent="0.3">
      <c r="A1199" s="1852" t="s">
        <v>3405</v>
      </c>
      <c r="B1199" s="1462"/>
      <c r="C1199" s="1456">
        <v>886</v>
      </c>
      <c r="D1199" s="1456">
        <v>886</v>
      </c>
      <c r="E1199" s="1462"/>
      <c r="O1199" s="1541">
        <f t="shared" ref="O1199:R1265" si="32">B1199+I1199</f>
        <v>0</v>
      </c>
      <c r="P1199" s="1541">
        <f t="shared" si="32"/>
        <v>886</v>
      </c>
      <c r="Q1199" s="1541">
        <f t="shared" si="32"/>
        <v>886</v>
      </c>
      <c r="R1199" s="1541">
        <f t="shared" si="32"/>
        <v>0</v>
      </c>
    </row>
    <row r="1200" spans="1:18" x14ac:dyDescent="0.3">
      <c r="A1200" s="1855" t="s">
        <v>3406</v>
      </c>
      <c r="B1200" s="1462"/>
      <c r="C1200" s="1456">
        <v>200</v>
      </c>
      <c r="D1200" s="1456">
        <v>200</v>
      </c>
      <c r="E1200" s="1462"/>
      <c r="O1200" s="1541">
        <f t="shared" si="32"/>
        <v>0</v>
      </c>
      <c r="P1200" s="1541">
        <f t="shared" si="32"/>
        <v>200</v>
      </c>
      <c r="Q1200" s="1541">
        <f t="shared" si="32"/>
        <v>200</v>
      </c>
      <c r="R1200" s="1541">
        <f t="shared" si="32"/>
        <v>0</v>
      </c>
    </row>
    <row r="1201" spans="1:18" x14ac:dyDescent="0.3">
      <c r="A1201" s="1852" t="s">
        <v>3407</v>
      </c>
      <c r="B1201" s="1462"/>
      <c r="C1201" s="1456">
        <v>636</v>
      </c>
      <c r="D1201" s="1456">
        <v>636</v>
      </c>
      <c r="E1201" s="1462"/>
      <c r="O1201" s="1541">
        <f t="shared" si="32"/>
        <v>0</v>
      </c>
      <c r="P1201" s="1541">
        <f t="shared" si="32"/>
        <v>636</v>
      </c>
      <c r="Q1201" s="1541">
        <f t="shared" si="32"/>
        <v>636</v>
      </c>
      <c r="R1201" s="1541">
        <f t="shared" si="32"/>
        <v>0</v>
      </c>
    </row>
    <row r="1202" spans="1:18" x14ac:dyDescent="0.3">
      <c r="A1202" s="1852" t="s">
        <v>3408</v>
      </c>
      <c r="B1202" s="1462"/>
      <c r="C1202" s="1456">
        <v>280</v>
      </c>
      <c r="D1202" s="1456">
        <v>280</v>
      </c>
      <c r="E1202" s="1462"/>
      <c r="O1202" s="1541">
        <f t="shared" si="32"/>
        <v>0</v>
      </c>
      <c r="P1202" s="1541">
        <f t="shared" si="32"/>
        <v>280</v>
      </c>
      <c r="Q1202" s="1541">
        <f t="shared" si="32"/>
        <v>280</v>
      </c>
      <c r="R1202" s="1541">
        <f t="shared" si="32"/>
        <v>0</v>
      </c>
    </row>
    <row r="1203" spans="1:18" x14ac:dyDescent="0.3">
      <c r="A1203" s="1852" t="s">
        <v>3409</v>
      </c>
      <c r="B1203" s="1462"/>
      <c r="C1203" s="1456">
        <v>18610</v>
      </c>
      <c r="D1203" s="1456">
        <v>16580</v>
      </c>
      <c r="E1203" s="1896">
        <v>2030</v>
      </c>
      <c r="O1203" s="1541">
        <f t="shared" si="32"/>
        <v>0</v>
      </c>
      <c r="P1203" s="1541">
        <f t="shared" si="32"/>
        <v>18610</v>
      </c>
      <c r="Q1203" s="1541">
        <f t="shared" si="32"/>
        <v>16580</v>
      </c>
      <c r="R1203" s="1541">
        <f t="shared" si="32"/>
        <v>2030</v>
      </c>
    </row>
    <row r="1204" spans="1:18" x14ac:dyDescent="0.3">
      <c r="A1204" s="1852" t="s">
        <v>3410</v>
      </c>
      <c r="B1204" s="1462"/>
      <c r="C1204" s="1456">
        <v>18000</v>
      </c>
      <c r="D1204" s="1456">
        <v>18000</v>
      </c>
      <c r="E1204" s="1462"/>
      <c r="O1204" s="1541">
        <f t="shared" si="32"/>
        <v>0</v>
      </c>
      <c r="P1204" s="1541">
        <f t="shared" si="32"/>
        <v>18000</v>
      </c>
      <c r="Q1204" s="1541">
        <f t="shared" si="32"/>
        <v>18000</v>
      </c>
      <c r="R1204" s="1541">
        <f t="shared" si="32"/>
        <v>0</v>
      </c>
    </row>
    <row r="1205" spans="1:18" x14ac:dyDescent="0.3">
      <c r="A1205" s="1852" t="s">
        <v>3411</v>
      </c>
      <c r="B1205" s="1462"/>
      <c r="C1205" s="1456">
        <v>190</v>
      </c>
      <c r="D1205" s="1456">
        <v>190</v>
      </c>
      <c r="E1205" s="1462"/>
      <c r="O1205" s="1541">
        <f t="shared" si="32"/>
        <v>0</v>
      </c>
      <c r="P1205" s="1541">
        <f t="shared" si="32"/>
        <v>190</v>
      </c>
      <c r="Q1205" s="1541">
        <f t="shared" si="32"/>
        <v>190</v>
      </c>
      <c r="R1205" s="1541">
        <f t="shared" si="32"/>
        <v>0</v>
      </c>
    </row>
    <row r="1206" spans="1:18" x14ac:dyDescent="0.3">
      <c r="A1206" s="1855" t="s">
        <v>3412</v>
      </c>
      <c r="B1206" s="1462"/>
      <c r="C1206" s="1456">
        <v>1115223</v>
      </c>
      <c r="D1206" s="1456">
        <v>1106272</v>
      </c>
      <c r="E1206" s="1896">
        <v>8951</v>
      </c>
      <c r="O1206" s="1541">
        <f t="shared" si="32"/>
        <v>0</v>
      </c>
      <c r="P1206" s="1541">
        <f t="shared" si="32"/>
        <v>1115223</v>
      </c>
      <c r="Q1206" s="1541">
        <f t="shared" si="32"/>
        <v>1106272</v>
      </c>
      <c r="R1206" s="1541">
        <f t="shared" si="32"/>
        <v>8951</v>
      </c>
    </row>
    <row r="1207" spans="1:18" x14ac:dyDescent="0.3">
      <c r="A1207" s="1852" t="s">
        <v>3413</v>
      </c>
      <c r="B1207" s="1462"/>
      <c r="C1207" s="1456">
        <v>50480</v>
      </c>
      <c r="D1207" s="1456">
        <v>50480</v>
      </c>
      <c r="E1207" s="1462"/>
      <c r="O1207" s="1541">
        <f t="shared" si="32"/>
        <v>0</v>
      </c>
      <c r="P1207" s="1541">
        <f t="shared" si="32"/>
        <v>50480</v>
      </c>
      <c r="Q1207" s="1541">
        <f t="shared" si="32"/>
        <v>50480</v>
      </c>
      <c r="R1207" s="1541">
        <f t="shared" si="32"/>
        <v>0</v>
      </c>
    </row>
    <row r="1208" spans="1:18" x14ac:dyDescent="0.3">
      <c r="A1208" s="1855" t="s">
        <v>3414</v>
      </c>
      <c r="B1208" s="1462"/>
      <c r="C1208" s="1456">
        <v>420</v>
      </c>
      <c r="D1208" s="1456">
        <v>420</v>
      </c>
      <c r="E1208" s="1462"/>
      <c r="O1208" s="1541">
        <f t="shared" si="32"/>
        <v>0</v>
      </c>
      <c r="P1208" s="1541">
        <f t="shared" si="32"/>
        <v>420</v>
      </c>
      <c r="Q1208" s="1541">
        <f t="shared" si="32"/>
        <v>420</v>
      </c>
      <c r="R1208" s="1541">
        <f t="shared" si="32"/>
        <v>0</v>
      </c>
    </row>
    <row r="1209" spans="1:18" x14ac:dyDescent="0.3">
      <c r="A1209" s="1855" t="s">
        <v>3415</v>
      </c>
      <c r="B1209" s="1462"/>
      <c r="C1209" s="1460"/>
      <c r="D1209" s="1456">
        <v>472</v>
      </c>
      <c r="E1209" s="1471">
        <v>-472</v>
      </c>
      <c r="O1209" s="1541">
        <f t="shared" si="32"/>
        <v>0</v>
      </c>
      <c r="P1209" s="1541">
        <f t="shared" si="32"/>
        <v>0</v>
      </c>
      <c r="Q1209" s="1541">
        <f t="shared" si="32"/>
        <v>472</v>
      </c>
      <c r="R1209" s="1541">
        <f t="shared" si="32"/>
        <v>-472</v>
      </c>
    </row>
    <row r="1210" spans="1:18" x14ac:dyDescent="0.3">
      <c r="A1210" s="1855" t="s">
        <v>3416</v>
      </c>
      <c r="B1210" s="1462"/>
      <c r="C1210" s="1456">
        <v>13063</v>
      </c>
      <c r="D1210" s="1456">
        <v>12591</v>
      </c>
      <c r="E1210" s="1896">
        <v>472</v>
      </c>
      <c r="O1210" s="1541">
        <f t="shared" si="32"/>
        <v>0</v>
      </c>
      <c r="P1210" s="1541">
        <f t="shared" si="32"/>
        <v>13063</v>
      </c>
      <c r="Q1210" s="1541">
        <f t="shared" si="32"/>
        <v>12591</v>
      </c>
      <c r="R1210" s="1541">
        <f t="shared" si="32"/>
        <v>472</v>
      </c>
    </row>
    <row r="1211" spans="1:18" x14ac:dyDescent="0.3">
      <c r="A1211" s="1855" t="s">
        <v>3417</v>
      </c>
      <c r="B1211" s="1462"/>
      <c r="C1211" s="1456">
        <v>190</v>
      </c>
      <c r="D1211" s="1456">
        <v>190</v>
      </c>
      <c r="E1211" s="1462"/>
      <c r="O1211" s="1541">
        <f t="shared" si="32"/>
        <v>0</v>
      </c>
      <c r="P1211" s="1541">
        <f t="shared" si="32"/>
        <v>190</v>
      </c>
      <c r="Q1211" s="1541">
        <f t="shared" si="32"/>
        <v>190</v>
      </c>
      <c r="R1211" s="1541">
        <f t="shared" si="32"/>
        <v>0</v>
      </c>
    </row>
    <row r="1212" spans="1:18" x14ac:dyDescent="0.3">
      <c r="A1212" s="1852" t="s">
        <v>3418</v>
      </c>
      <c r="B1212" s="1462"/>
      <c r="C1212" s="1456">
        <v>477</v>
      </c>
      <c r="D1212" s="1456">
        <v>477</v>
      </c>
      <c r="E1212" s="1462"/>
      <c r="O1212" s="1541">
        <f t="shared" si="32"/>
        <v>0</v>
      </c>
      <c r="P1212" s="1541">
        <f t="shared" si="32"/>
        <v>477</v>
      </c>
      <c r="Q1212" s="1541">
        <f t="shared" si="32"/>
        <v>477</v>
      </c>
      <c r="R1212" s="1541">
        <f t="shared" si="32"/>
        <v>0</v>
      </c>
    </row>
    <row r="1213" spans="1:18" x14ac:dyDescent="0.3">
      <c r="A1213" s="1852" t="s">
        <v>3419</v>
      </c>
      <c r="B1213" s="1462"/>
      <c r="C1213" s="1456">
        <v>446</v>
      </c>
      <c r="D1213" s="1456">
        <v>446</v>
      </c>
      <c r="E1213" s="1462"/>
      <c r="O1213" s="1541">
        <f t="shared" si="32"/>
        <v>0</v>
      </c>
      <c r="P1213" s="1541">
        <f t="shared" si="32"/>
        <v>446</v>
      </c>
      <c r="Q1213" s="1541">
        <f t="shared" si="32"/>
        <v>446</v>
      </c>
      <c r="R1213" s="1541">
        <f t="shared" si="32"/>
        <v>0</v>
      </c>
    </row>
    <row r="1214" spans="1:18" x14ac:dyDescent="0.3">
      <c r="A1214" s="1855" t="s">
        <v>3420</v>
      </c>
      <c r="B1214" s="1462"/>
      <c r="C1214" s="1456">
        <v>2080</v>
      </c>
      <c r="D1214" s="1456">
        <v>2080</v>
      </c>
      <c r="E1214" s="1462"/>
      <c r="O1214" s="1541">
        <f t="shared" si="32"/>
        <v>0</v>
      </c>
      <c r="P1214" s="1541">
        <f t="shared" si="32"/>
        <v>2080</v>
      </c>
      <c r="Q1214" s="1541">
        <f t="shared" si="32"/>
        <v>2080</v>
      </c>
      <c r="R1214" s="1541">
        <f t="shared" si="32"/>
        <v>0</v>
      </c>
    </row>
    <row r="1215" spans="1:18" x14ac:dyDescent="0.3">
      <c r="A1215" s="1852" t="s">
        <v>3421</v>
      </c>
      <c r="B1215" s="1462"/>
      <c r="C1215" s="1456">
        <v>612</v>
      </c>
      <c r="D1215" s="1456">
        <v>612</v>
      </c>
      <c r="E1215" s="1462"/>
      <c r="O1215" s="1541">
        <f t="shared" si="32"/>
        <v>0</v>
      </c>
      <c r="P1215" s="1541">
        <f t="shared" si="32"/>
        <v>612</v>
      </c>
      <c r="Q1215" s="1541">
        <f t="shared" si="32"/>
        <v>612</v>
      </c>
      <c r="R1215" s="1541">
        <f t="shared" si="32"/>
        <v>0</v>
      </c>
    </row>
    <row r="1216" spans="1:18" x14ac:dyDescent="0.3">
      <c r="A1216" s="1855" t="s">
        <v>3422</v>
      </c>
      <c r="B1216" s="1462"/>
      <c r="C1216" s="1456">
        <v>471</v>
      </c>
      <c r="D1216" s="1456">
        <v>471</v>
      </c>
      <c r="E1216" s="1462"/>
      <c r="O1216" s="1541">
        <f t="shared" si="32"/>
        <v>0</v>
      </c>
      <c r="P1216" s="1541">
        <f t="shared" si="32"/>
        <v>471</v>
      </c>
      <c r="Q1216" s="1541">
        <f t="shared" si="32"/>
        <v>471</v>
      </c>
      <c r="R1216" s="1541">
        <f t="shared" si="32"/>
        <v>0</v>
      </c>
    </row>
    <row r="1217" spans="1:18" x14ac:dyDescent="0.3">
      <c r="A1217" s="1855" t="s">
        <v>3423</v>
      </c>
      <c r="B1217" s="1462"/>
      <c r="C1217" s="1456">
        <v>5200</v>
      </c>
      <c r="D1217" s="1456">
        <v>5200</v>
      </c>
      <c r="E1217" s="1462"/>
      <c r="O1217" s="1541">
        <f t="shared" si="32"/>
        <v>0</v>
      </c>
      <c r="P1217" s="1541">
        <f t="shared" si="32"/>
        <v>5200</v>
      </c>
      <c r="Q1217" s="1541">
        <f t="shared" si="32"/>
        <v>5200</v>
      </c>
      <c r="R1217" s="1541">
        <f t="shared" si="32"/>
        <v>0</v>
      </c>
    </row>
    <row r="1218" spans="1:18" x14ac:dyDescent="0.3">
      <c r="A1218" s="1855" t="s">
        <v>3424</v>
      </c>
      <c r="B1218" s="1462"/>
      <c r="C1218" s="1456">
        <v>12887</v>
      </c>
      <c r="D1218" s="1456">
        <v>12887</v>
      </c>
      <c r="E1218" s="1462"/>
      <c r="O1218" s="1541">
        <f t="shared" si="32"/>
        <v>0</v>
      </c>
      <c r="P1218" s="1541">
        <f t="shared" si="32"/>
        <v>12887</v>
      </c>
      <c r="Q1218" s="1541">
        <f t="shared" si="32"/>
        <v>12887</v>
      </c>
      <c r="R1218" s="1541">
        <f t="shared" si="32"/>
        <v>0</v>
      </c>
    </row>
    <row r="1219" spans="1:18" x14ac:dyDescent="0.3">
      <c r="A1219" s="1855" t="s">
        <v>3425</v>
      </c>
      <c r="B1219" s="1462"/>
      <c r="C1219" s="1456">
        <v>662</v>
      </c>
      <c r="D1219" s="1456">
        <v>662</v>
      </c>
      <c r="E1219" s="1462"/>
      <c r="O1219" s="1541">
        <f t="shared" si="32"/>
        <v>0</v>
      </c>
      <c r="P1219" s="1541">
        <f t="shared" si="32"/>
        <v>662</v>
      </c>
      <c r="Q1219" s="1541">
        <f t="shared" si="32"/>
        <v>662</v>
      </c>
      <c r="R1219" s="1541">
        <f t="shared" si="32"/>
        <v>0</v>
      </c>
    </row>
    <row r="1220" spans="1:18" x14ac:dyDescent="0.3">
      <c r="A1220" s="1855" t="s">
        <v>3426</v>
      </c>
      <c r="B1220" s="1462"/>
      <c r="C1220" s="1456">
        <v>1526</v>
      </c>
      <c r="D1220" s="1456">
        <v>1526</v>
      </c>
      <c r="E1220" s="1462"/>
      <c r="O1220" s="1541">
        <f t="shared" si="32"/>
        <v>0</v>
      </c>
      <c r="P1220" s="1541">
        <f t="shared" si="32"/>
        <v>1526</v>
      </c>
      <c r="Q1220" s="1541">
        <f t="shared" si="32"/>
        <v>1526</v>
      </c>
      <c r="R1220" s="1541">
        <f t="shared" si="32"/>
        <v>0</v>
      </c>
    </row>
    <row r="1221" spans="1:18" x14ac:dyDescent="0.3">
      <c r="A1221" s="1855" t="s">
        <v>3427</v>
      </c>
      <c r="B1221" s="1462"/>
      <c r="C1221" s="1456">
        <v>8978</v>
      </c>
      <c r="D1221" s="1456">
        <v>8978</v>
      </c>
      <c r="E1221" s="1462"/>
      <c r="O1221" s="1541">
        <f t="shared" si="32"/>
        <v>0</v>
      </c>
      <c r="P1221" s="1541">
        <f t="shared" si="32"/>
        <v>8978</v>
      </c>
      <c r="Q1221" s="1541">
        <f t="shared" si="32"/>
        <v>8978</v>
      </c>
      <c r="R1221" s="1541">
        <f t="shared" si="32"/>
        <v>0</v>
      </c>
    </row>
    <row r="1222" spans="1:18" x14ac:dyDescent="0.3">
      <c r="A1222" s="1855" t="s">
        <v>3428</v>
      </c>
      <c r="B1222" s="1462"/>
      <c r="C1222" s="1456">
        <v>520</v>
      </c>
      <c r="D1222" s="1456">
        <v>520</v>
      </c>
      <c r="E1222" s="1462"/>
      <c r="O1222" s="1541">
        <f t="shared" si="32"/>
        <v>0</v>
      </c>
      <c r="P1222" s="1541">
        <f t="shared" si="32"/>
        <v>520</v>
      </c>
      <c r="Q1222" s="1541">
        <f t="shared" si="32"/>
        <v>520</v>
      </c>
      <c r="R1222" s="1541">
        <f t="shared" si="32"/>
        <v>0</v>
      </c>
    </row>
    <row r="1223" spans="1:18" x14ac:dyDescent="0.3">
      <c r="A1223" s="1855" t="s">
        <v>3429</v>
      </c>
      <c r="B1223" s="1462"/>
      <c r="C1223" s="1456">
        <v>44270</v>
      </c>
      <c r="D1223" s="1456">
        <v>44270</v>
      </c>
      <c r="E1223" s="1462"/>
      <c r="O1223" s="1541">
        <f t="shared" si="32"/>
        <v>0</v>
      </c>
      <c r="P1223" s="1541">
        <f t="shared" si="32"/>
        <v>44270</v>
      </c>
      <c r="Q1223" s="1541">
        <f t="shared" si="32"/>
        <v>44270</v>
      </c>
      <c r="R1223" s="1541">
        <f t="shared" si="32"/>
        <v>0</v>
      </c>
    </row>
    <row r="1224" spans="1:18" x14ac:dyDescent="0.3">
      <c r="A1224" s="1852" t="s">
        <v>3430</v>
      </c>
      <c r="B1224" s="1462"/>
      <c r="C1224" s="1456">
        <v>9134</v>
      </c>
      <c r="D1224" s="1456">
        <v>9134</v>
      </c>
      <c r="E1224" s="1462"/>
      <c r="O1224" s="1541">
        <f t="shared" si="32"/>
        <v>0</v>
      </c>
      <c r="P1224" s="1541">
        <f t="shared" si="32"/>
        <v>9134</v>
      </c>
      <c r="Q1224" s="1541">
        <f t="shared" si="32"/>
        <v>9134</v>
      </c>
      <c r="R1224" s="1541">
        <f t="shared" si="32"/>
        <v>0</v>
      </c>
    </row>
    <row r="1225" spans="1:18" x14ac:dyDescent="0.3">
      <c r="A1225" s="1852" t="s">
        <v>3431</v>
      </c>
      <c r="B1225" s="1462"/>
      <c r="C1225" s="1456">
        <v>4240</v>
      </c>
      <c r="D1225" s="1456">
        <v>4240</v>
      </c>
      <c r="E1225" s="1462"/>
      <c r="O1225" s="1541">
        <f t="shared" si="32"/>
        <v>0</v>
      </c>
      <c r="P1225" s="1541">
        <f t="shared" si="32"/>
        <v>4240</v>
      </c>
      <c r="Q1225" s="1541">
        <f t="shared" si="32"/>
        <v>4240</v>
      </c>
      <c r="R1225" s="1541">
        <f t="shared" si="32"/>
        <v>0</v>
      </c>
    </row>
    <row r="1226" spans="1:18" x14ac:dyDescent="0.3">
      <c r="A1226" s="1855" t="s">
        <v>3432</v>
      </c>
      <c r="B1226" s="1462"/>
      <c r="C1226" s="1456">
        <v>980</v>
      </c>
      <c r="D1226" s="1456">
        <v>980</v>
      </c>
      <c r="E1226" s="1462"/>
      <c r="O1226" s="1541">
        <f t="shared" si="32"/>
        <v>0</v>
      </c>
      <c r="P1226" s="1541">
        <f t="shared" si="32"/>
        <v>980</v>
      </c>
      <c r="Q1226" s="1541">
        <f t="shared" si="32"/>
        <v>980</v>
      </c>
      <c r="R1226" s="1541">
        <f t="shared" si="32"/>
        <v>0</v>
      </c>
    </row>
    <row r="1227" spans="1:18" x14ac:dyDescent="0.3">
      <c r="A1227" s="1855" t="s">
        <v>3433</v>
      </c>
      <c r="B1227" s="1462"/>
      <c r="C1227" s="1456">
        <v>2228</v>
      </c>
      <c r="D1227" s="1456">
        <v>2228</v>
      </c>
      <c r="E1227" s="1462"/>
      <c r="O1227" s="1541">
        <f t="shared" si="32"/>
        <v>0</v>
      </c>
      <c r="P1227" s="1541">
        <f t="shared" si="32"/>
        <v>2228</v>
      </c>
      <c r="Q1227" s="1541">
        <f t="shared" si="32"/>
        <v>2228</v>
      </c>
      <c r="R1227" s="1541">
        <f t="shared" si="32"/>
        <v>0</v>
      </c>
    </row>
    <row r="1228" spans="1:18" x14ac:dyDescent="0.3">
      <c r="A1228" s="1852" t="s">
        <v>3434</v>
      </c>
      <c r="B1228" s="1462"/>
      <c r="C1228" s="1456">
        <v>280</v>
      </c>
      <c r="D1228" s="1456">
        <v>280</v>
      </c>
      <c r="E1228" s="1462"/>
      <c r="O1228" s="1541">
        <f t="shared" si="32"/>
        <v>0</v>
      </c>
      <c r="P1228" s="1541">
        <f t="shared" si="32"/>
        <v>280</v>
      </c>
      <c r="Q1228" s="1541">
        <f t="shared" si="32"/>
        <v>280</v>
      </c>
      <c r="R1228" s="1541">
        <f t="shared" si="32"/>
        <v>0</v>
      </c>
    </row>
    <row r="1229" spans="1:18" x14ac:dyDescent="0.3">
      <c r="A1229" s="1852" t="s">
        <v>3435</v>
      </c>
      <c r="B1229" s="1462"/>
      <c r="C1229" s="1456">
        <v>3126</v>
      </c>
      <c r="D1229" s="1456">
        <v>3126</v>
      </c>
      <c r="E1229" s="1462"/>
      <c r="O1229" s="1541">
        <f t="shared" si="32"/>
        <v>0</v>
      </c>
      <c r="P1229" s="1541">
        <f t="shared" si="32"/>
        <v>3126</v>
      </c>
      <c r="Q1229" s="1541">
        <f t="shared" si="32"/>
        <v>3126</v>
      </c>
      <c r="R1229" s="1541">
        <f t="shared" si="32"/>
        <v>0</v>
      </c>
    </row>
    <row r="1230" spans="1:18" x14ac:dyDescent="0.3">
      <c r="A1230" s="1852" t="s">
        <v>3436</v>
      </c>
      <c r="B1230" s="1462"/>
      <c r="C1230" s="1456">
        <v>892</v>
      </c>
      <c r="D1230" s="1456">
        <v>892</v>
      </c>
      <c r="E1230" s="1462"/>
      <c r="O1230" s="1541">
        <f t="shared" si="32"/>
        <v>0</v>
      </c>
      <c r="P1230" s="1541">
        <f t="shared" si="32"/>
        <v>892</v>
      </c>
      <c r="Q1230" s="1541">
        <f t="shared" si="32"/>
        <v>892</v>
      </c>
      <c r="R1230" s="1541">
        <f t="shared" si="32"/>
        <v>0</v>
      </c>
    </row>
    <row r="1231" spans="1:18" x14ac:dyDescent="0.3">
      <c r="A1231" s="1855" t="s">
        <v>3437</v>
      </c>
      <c r="B1231" s="1462"/>
      <c r="C1231" s="1456">
        <v>2196882</v>
      </c>
      <c r="D1231" s="1456">
        <v>1461476</v>
      </c>
      <c r="E1231" s="1896">
        <v>735406</v>
      </c>
      <c r="O1231" s="1541">
        <f t="shared" si="32"/>
        <v>0</v>
      </c>
      <c r="P1231" s="1541">
        <f t="shared" si="32"/>
        <v>2196882</v>
      </c>
      <c r="Q1231" s="1541">
        <f t="shared" si="32"/>
        <v>1461476</v>
      </c>
      <c r="R1231" s="1541">
        <f t="shared" si="32"/>
        <v>735406</v>
      </c>
    </row>
    <row r="1232" spans="1:18" x14ac:dyDescent="0.3">
      <c r="A1232" s="1852" t="s">
        <v>3438</v>
      </c>
      <c r="B1232" s="1462"/>
      <c r="C1232" s="1456">
        <v>480</v>
      </c>
      <c r="D1232" s="1456">
        <v>480</v>
      </c>
      <c r="E1232" s="1462"/>
      <c r="O1232" s="1541">
        <f t="shared" si="32"/>
        <v>0</v>
      </c>
      <c r="P1232" s="1541">
        <f t="shared" si="32"/>
        <v>480</v>
      </c>
      <c r="Q1232" s="1541">
        <f t="shared" si="32"/>
        <v>480</v>
      </c>
      <c r="R1232" s="1541">
        <f t="shared" si="32"/>
        <v>0</v>
      </c>
    </row>
    <row r="1233" spans="1:18" x14ac:dyDescent="0.3">
      <c r="A1233" s="1852" t="s">
        <v>3439</v>
      </c>
      <c r="B1233" s="1462"/>
      <c r="C1233" s="1456">
        <v>7470</v>
      </c>
      <c r="D1233" s="1456">
        <v>7470</v>
      </c>
      <c r="E1233" s="1462"/>
      <c r="O1233" s="1541">
        <f t="shared" si="32"/>
        <v>0</v>
      </c>
      <c r="P1233" s="1541">
        <f t="shared" si="32"/>
        <v>7470</v>
      </c>
      <c r="Q1233" s="1541">
        <f t="shared" si="32"/>
        <v>7470</v>
      </c>
      <c r="R1233" s="1541">
        <f t="shared" si="32"/>
        <v>0</v>
      </c>
    </row>
    <row r="1234" spans="1:18" x14ac:dyDescent="0.3">
      <c r="A1234" s="1852" t="s">
        <v>3440</v>
      </c>
      <c r="B1234" s="1462"/>
      <c r="C1234" s="1456">
        <v>497796.64</v>
      </c>
      <c r="D1234" s="1456">
        <v>457750</v>
      </c>
      <c r="E1234" s="1896">
        <v>40046.639999999999</v>
      </c>
      <c r="O1234" s="1541">
        <f t="shared" si="32"/>
        <v>0</v>
      </c>
      <c r="P1234" s="1541">
        <f t="shared" si="32"/>
        <v>497796.64</v>
      </c>
      <c r="Q1234" s="1541">
        <f t="shared" si="32"/>
        <v>457750</v>
      </c>
      <c r="R1234" s="1541">
        <f t="shared" si="32"/>
        <v>40046.639999999999</v>
      </c>
    </row>
    <row r="1235" spans="1:18" x14ac:dyDescent="0.3">
      <c r="A1235" s="1852" t="s">
        <v>3441</v>
      </c>
      <c r="B1235" s="1462"/>
      <c r="C1235" s="1456">
        <v>200</v>
      </c>
      <c r="D1235" s="1456">
        <v>200</v>
      </c>
      <c r="E1235" s="1462"/>
      <c r="O1235" s="1541">
        <f t="shared" si="32"/>
        <v>0</v>
      </c>
      <c r="P1235" s="1541">
        <f t="shared" si="32"/>
        <v>200</v>
      </c>
      <c r="Q1235" s="1541">
        <f t="shared" si="32"/>
        <v>200</v>
      </c>
      <c r="R1235" s="1541">
        <f t="shared" si="32"/>
        <v>0</v>
      </c>
    </row>
    <row r="1236" spans="1:18" x14ac:dyDescent="0.3">
      <c r="A1236" s="1855" t="s">
        <v>3442</v>
      </c>
      <c r="B1236" s="1462"/>
      <c r="C1236" s="1456">
        <v>10820</v>
      </c>
      <c r="D1236" s="1456">
        <v>10820</v>
      </c>
      <c r="E1236" s="1462"/>
      <c r="O1236" s="1541">
        <f t="shared" si="32"/>
        <v>0</v>
      </c>
      <c r="P1236" s="1541">
        <f t="shared" si="32"/>
        <v>10820</v>
      </c>
      <c r="Q1236" s="1541">
        <f t="shared" si="32"/>
        <v>10820</v>
      </c>
      <c r="R1236" s="1541">
        <f t="shared" si="32"/>
        <v>0</v>
      </c>
    </row>
    <row r="1237" spans="1:18" x14ac:dyDescent="0.3">
      <c r="A1237" s="1852" t="s">
        <v>3443</v>
      </c>
      <c r="B1237" s="1462"/>
      <c r="C1237" s="1456">
        <v>470</v>
      </c>
      <c r="D1237" s="1456">
        <v>470</v>
      </c>
      <c r="E1237" s="1462"/>
      <c r="O1237" s="1541">
        <f t="shared" si="32"/>
        <v>0</v>
      </c>
      <c r="P1237" s="1541">
        <f t="shared" si="32"/>
        <v>470</v>
      </c>
      <c r="Q1237" s="1541">
        <f t="shared" si="32"/>
        <v>470</v>
      </c>
      <c r="R1237" s="1541">
        <f t="shared" si="32"/>
        <v>0</v>
      </c>
    </row>
    <row r="1238" spans="1:18" x14ac:dyDescent="0.3">
      <c r="A1238" s="1852" t="s">
        <v>3444</v>
      </c>
      <c r="B1238" s="1462"/>
      <c r="C1238" s="1456">
        <v>290</v>
      </c>
      <c r="D1238" s="1456">
        <v>290</v>
      </c>
      <c r="E1238" s="1462"/>
      <c r="O1238" s="1541">
        <f t="shared" si="32"/>
        <v>0</v>
      </c>
      <c r="P1238" s="1541">
        <f t="shared" si="32"/>
        <v>290</v>
      </c>
      <c r="Q1238" s="1541">
        <f t="shared" si="32"/>
        <v>290</v>
      </c>
      <c r="R1238" s="1541">
        <f t="shared" si="32"/>
        <v>0</v>
      </c>
    </row>
    <row r="1239" spans="1:18" x14ac:dyDescent="0.3">
      <c r="A1239" s="1852" t="s">
        <v>3445</v>
      </c>
      <c r="B1239" s="1462"/>
      <c r="C1239" s="1456">
        <v>12700</v>
      </c>
      <c r="D1239" s="1456">
        <v>12700</v>
      </c>
      <c r="E1239" s="1462"/>
      <c r="O1239" s="1541">
        <f t="shared" si="32"/>
        <v>0</v>
      </c>
      <c r="P1239" s="1541">
        <f t="shared" si="32"/>
        <v>12700</v>
      </c>
      <c r="Q1239" s="1541">
        <f t="shared" si="32"/>
        <v>12700</v>
      </c>
      <c r="R1239" s="1541">
        <f t="shared" si="32"/>
        <v>0</v>
      </c>
    </row>
    <row r="1240" spans="1:18" x14ac:dyDescent="0.3">
      <c r="A1240" s="1852" t="s">
        <v>3446</v>
      </c>
      <c r="B1240" s="1462"/>
      <c r="C1240" s="1456">
        <v>1040</v>
      </c>
      <c r="D1240" s="1456">
        <v>1040</v>
      </c>
      <c r="E1240" s="1462"/>
      <c r="O1240" s="1541">
        <f t="shared" si="32"/>
        <v>0</v>
      </c>
      <c r="P1240" s="1541">
        <f t="shared" si="32"/>
        <v>1040</v>
      </c>
      <c r="Q1240" s="1541">
        <f t="shared" si="32"/>
        <v>1040</v>
      </c>
      <c r="R1240" s="1541">
        <f t="shared" si="32"/>
        <v>0</v>
      </c>
    </row>
    <row r="1241" spans="1:18" x14ac:dyDescent="0.3">
      <c r="A1241" s="1855" t="s">
        <v>3447</v>
      </c>
      <c r="B1241" s="1462"/>
      <c r="C1241" s="1456">
        <v>1800</v>
      </c>
      <c r="D1241" s="1456">
        <v>1800</v>
      </c>
      <c r="E1241" s="1462"/>
      <c r="O1241" s="1541">
        <f t="shared" si="32"/>
        <v>0</v>
      </c>
      <c r="P1241" s="1541">
        <f t="shared" si="32"/>
        <v>1800</v>
      </c>
      <c r="Q1241" s="1541">
        <f t="shared" si="32"/>
        <v>1800</v>
      </c>
      <c r="R1241" s="1541">
        <f t="shared" si="32"/>
        <v>0</v>
      </c>
    </row>
    <row r="1242" spans="1:18" x14ac:dyDescent="0.3">
      <c r="A1242" s="1855" t="s">
        <v>3448</v>
      </c>
      <c r="B1242" s="1462"/>
      <c r="C1242" s="1456">
        <v>1592</v>
      </c>
      <c r="D1242" s="1456">
        <v>1592</v>
      </c>
      <c r="E1242" s="1462"/>
      <c r="O1242" s="1541">
        <f t="shared" si="32"/>
        <v>0</v>
      </c>
      <c r="P1242" s="1541">
        <f t="shared" si="32"/>
        <v>1592</v>
      </c>
      <c r="Q1242" s="1541">
        <f t="shared" si="32"/>
        <v>1592</v>
      </c>
      <c r="R1242" s="1541">
        <f t="shared" si="32"/>
        <v>0</v>
      </c>
    </row>
    <row r="1243" spans="1:18" x14ac:dyDescent="0.3">
      <c r="A1243" s="1852" t="s">
        <v>3449</v>
      </c>
      <c r="B1243" s="1462"/>
      <c r="C1243" s="1456">
        <v>46225</v>
      </c>
      <c r="D1243" s="1456">
        <v>46225</v>
      </c>
      <c r="E1243" s="1462"/>
      <c r="O1243" s="1541">
        <f t="shared" si="32"/>
        <v>0</v>
      </c>
      <c r="P1243" s="1541">
        <f t="shared" si="32"/>
        <v>46225</v>
      </c>
      <c r="Q1243" s="1541">
        <f t="shared" si="32"/>
        <v>46225</v>
      </c>
      <c r="R1243" s="1541">
        <f t="shared" si="32"/>
        <v>0</v>
      </c>
    </row>
    <row r="1244" spans="1:18" x14ac:dyDescent="0.3">
      <c r="A1244" s="1852" t="s">
        <v>3450</v>
      </c>
      <c r="B1244" s="1462"/>
      <c r="C1244" s="1456">
        <v>540</v>
      </c>
      <c r="D1244" s="1456">
        <v>540</v>
      </c>
      <c r="E1244" s="1462"/>
      <c r="O1244" s="1541">
        <f t="shared" si="32"/>
        <v>0</v>
      </c>
      <c r="P1244" s="1541">
        <f t="shared" si="32"/>
        <v>540</v>
      </c>
      <c r="Q1244" s="1541">
        <f t="shared" si="32"/>
        <v>540</v>
      </c>
      <c r="R1244" s="1541">
        <f t="shared" si="32"/>
        <v>0</v>
      </c>
    </row>
    <row r="1245" spans="1:18" x14ac:dyDescent="0.3">
      <c r="A1245" s="1852" t="s">
        <v>3451</v>
      </c>
      <c r="B1245" s="1462"/>
      <c r="C1245" s="1456">
        <v>9500</v>
      </c>
      <c r="D1245" s="1456">
        <v>9500</v>
      </c>
      <c r="E1245" s="1462"/>
      <c r="O1245" s="1541">
        <f t="shared" si="32"/>
        <v>0</v>
      </c>
      <c r="P1245" s="1541">
        <f t="shared" si="32"/>
        <v>9500</v>
      </c>
      <c r="Q1245" s="1541">
        <f t="shared" si="32"/>
        <v>9500</v>
      </c>
      <c r="R1245" s="1541">
        <f t="shared" si="32"/>
        <v>0</v>
      </c>
    </row>
    <row r="1246" spans="1:18" x14ac:dyDescent="0.3">
      <c r="A1246" s="1852" t="s">
        <v>3452</v>
      </c>
      <c r="B1246" s="1462"/>
      <c r="C1246" s="1456">
        <v>660</v>
      </c>
      <c r="D1246" s="1460"/>
      <c r="E1246" s="1896">
        <v>660</v>
      </c>
      <c r="O1246" s="1541">
        <f t="shared" si="32"/>
        <v>0</v>
      </c>
      <c r="P1246" s="1541">
        <f t="shared" si="32"/>
        <v>660</v>
      </c>
      <c r="Q1246" s="1541">
        <f t="shared" si="32"/>
        <v>0</v>
      </c>
      <c r="R1246" s="1541">
        <f t="shared" si="32"/>
        <v>660</v>
      </c>
    </row>
    <row r="1247" spans="1:18" x14ac:dyDescent="0.3">
      <c r="A1247" s="1852" t="s">
        <v>3453</v>
      </c>
      <c r="B1247" s="1462"/>
      <c r="C1247" s="1456">
        <v>340</v>
      </c>
      <c r="D1247" s="1456">
        <v>340</v>
      </c>
      <c r="E1247" s="1462"/>
      <c r="O1247" s="1541">
        <f t="shared" si="32"/>
        <v>0</v>
      </c>
      <c r="P1247" s="1541">
        <f t="shared" si="32"/>
        <v>340</v>
      </c>
      <c r="Q1247" s="1541">
        <f t="shared" si="32"/>
        <v>340</v>
      </c>
      <c r="R1247" s="1541">
        <f t="shared" si="32"/>
        <v>0</v>
      </c>
    </row>
    <row r="1248" spans="1:18" x14ac:dyDescent="0.3">
      <c r="A1248" s="1852" t="s">
        <v>3454</v>
      </c>
      <c r="B1248" s="1462"/>
      <c r="C1248" s="1456">
        <v>1530</v>
      </c>
      <c r="D1248" s="1456">
        <v>1530</v>
      </c>
      <c r="E1248" s="1462"/>
      <c r="O1248" s="1541">
        <f t="shared" si="32"/>
        <v>0</v>
      </c>
      <c r="P1248" s="1541">
        <f t="shared" si="32"/>
        <v>1530</v>
      </c>
      <c r="Q1248" s="1541">
        <f t="shared" si="32"/>
        <v>1530</v>
      </c>
      <c r="R1248" s="1541">
        <f t="shared" si="32"/>
        <v>0</v>
      </c>
    </row>
    <row r="1249" spans="1:18" x14ac:dyDescent="0.3">
      <c r="A1249" s="1852" t="s">
        <v>3455</v>
      </c>
      <c r="B1249" s="1462"/>
      <c r="C1249" s="1456">
        <v>19900</v>
      </c>
      <c r="D1249" s="1456">
        <v>19900</v>
      </c>
      <c r="E1249" s="1462"/>
      <c r="O1249" s="1541">
        <f t="shared" si="32"/>
        <v>0</v>
      </c>
      <c r="P1249" s="1541">
        <f t="shared" si="32"/>
        <v>19900</v>
      </c>
      <c r="Q1249" s="1541">
        <f t="shared" si="32"/>
        <v>19900</v>
      </c>
      <c r="R1249" s="1541">
        <f t="shared" si="32"/>
        <v>0</v>
      </c>
    </row>
    <row r="1250" spans="1:18" x14ac:dyDescent="0.3">
      <c r="A1250" s="1852" t="s">
        <v>3456</v>
      </c>
      <c r="B1250" s="1462"/>
      <c r="C1250" s="1456">
        <v>1684</v>
      </c>
      <c r="D1250" s="1456">
        <v>1684</v>
      </c>
      <c r="E1250" s="1462"/>
      <c r="O1250" s="1541">
        <f t="shared" si="32"/>
        <v>0</v>
      </c>
      <c r="P1250" s="1541">
        <f t="shared" si="32"/>
        <v>1684</v>
      </c>
      <c r="Q1250" s="1541">
        <f t="shared" si="32"/>
        <v>1684</v>
      </c>
      <c r="R1250" s="1541">
        <f t="shared" si="32"/>
        <v>0</v>
      </c>
    </row>
    <row r="1251" spans="1:18" x14ac:dyDescent="0.3">
      <c r="A1251" s="1852" t="s">
        <v>3457</v>
      </c>
      <c r="B1251" s="1462"/>
      <c r="C1251" s="1456">
        <v>6830</v>
      </c>
      <c r="D1251" s="1456">
        <v>6830</v>
      </c>
      <c r="E1251" s="1462"/>
      <c r="O1251" s="1541">
        <f t="shared" si="32"/>
        <v>0</v>
      </c>
      <c r="P1251" s="1541">
        <f t="shared" si="32"/>
        <v>6830</v>
      </c>
      <c r="Q1251" s="1541">
        <f t="shared" si="32"/>
        <v>6830</v>
      </c>
      <c r="R1251" s="1541">
        <f t="shared" si="32"/>
        <v>0</v>
      </c>
    </row>
    <row r="1252" spans="1:18" x14ac:dyDescent="0.3">
      <c r="A1252" s="1852" t="s">
        <v>3458</v>
      </c>
      <c r="B1252" s="1462"/>
      <c r="C1252" s="1456">
        <v>251803</v>
      </c>
      <c r="D1252" s="1456">
        <v>251803</v>
      </c>
      <c r="E1252" s="1462"/>
      <c r="O1252" s="1541">
        <f t="shared" si="32"/>
        <v>0</v>
      </c>
      <c r="P1252" s="1541">
        <f t="shared" si="32"/>
        <v>251803</v>
      </c>
      <c r="Q1252" s="1541">
        <f t="shared" si="32"/>
        <v>251803</v>
      </c>
      <c r="R1252" s="1541">
        <f t="shared" si="32"/>
        <v>0</v>
      </c>
    </row>
    <row r="1253" spans="1:18" x14ac:dyDescent="0.3">
      <c r="A1253" s="1852" t="s">
        <v>3459</v>
      </c>
      <c r="B1253" s="1462"/>
      <c r="C1253" s="1456">
        <v>200</v>
      </c>
      <c r="D1253" s="1456">
        <v>200</v>
      </c>
      <c r="E1253" s="1462"/>
      <c r="O1253" s="1541">
        <f t="shared" si="32"/>
        <v>0</v>
      </c>
      <c r="P1253" s="1541">
        <f t="shared" si="32"/>
        <v>200</v>
      </c>
      <c r="Q1253" s="1541">
        <f t="shared" si="32"/>
        <v>200</v>
      </c>
      <c r="R1253" s="1541">
        <f t="shared" si="32"/>
        <v>0</v>
      </c>
    </row>
    <row r="1254" spans="1:18" x14ac:dyDescent="0.3">
      <c r="A1254" s="1852"/>
      <c r="B1254" s="1462"/>
      <c r="C1254" s="1456"/>
      <c r="D1254" s="1456"/>
      <c r="E1254" s="1462"/>
      <c r="O1254" s="1541"/>
      <c r="P1254" s="1541"/>
      <c r="Q1254" s="1541"/>
      <c r="R1254" s="1541"/>
    </row>
    <row r="1255" spans="1:18" x14ac:dyDescent="0.3">
      <c r="A1255" s="1852"/>
      <c r="B1255" s="1462"/>
      <c r="C1255" s="1456"/>
      <c r="D1255" s="1456"/>
      <c r="E1255" s="1462"/>
      <c r="O1255" s="1541"/>
      <c r="P1255" s="1541"/>
      <c r="Q1255" s="1541"/>
      <c r="R1255" s="1541"/>
    </row>
    <row r="1256" spans="1:18" x14ac:dyDescent="0.3">
      <c r="A1256" s="1852"/>
      <c r="B1256" s="1462"/>
      <c r="C1256" s="1456"/>
      <c r="D1256" s="1456"/>
      <c r="E1256" s="1462"/>
      <c r="O1256" s="1541"/>
      <c r="P1256" s="1541"/>
      <c r="Q1256" s="1541"/>
      <c r="R1256" s="1541"/>
    </row>
    <row r="1257" spans="1:18" x14ac:dyDescent="0.3">
      <c r="A1257" s="1463" t="s">
        <v>2223</v>
      </c>
      <c r="B1257" s="1854"/>
      <c r="C1257" s="1849">
        <v>10634799.9</v>
      </c>
      <c r="D1257" s="1849">
        <v>11731948.91</v>
      </c>
      <c r="E1257" s="1848">
        <v>-1097149.01</v>
      </c>
      <c r="H1257" s="1463" t="s">
        <v>2223</v>
      </c>
      <c r="I1257" s="1897">
        <v>7511</v>
      </c>
      <c r="J1257" s="1854"/>
      <c r="K1257" s="1854"/>
      <c r="L1257" s="1897">
        <v>7511</v>
      </c>
      <c r="O1257" s="1541">
        <f t="shared" si="32"/>
        <v>7511</v>
      </c>
      <c r="P1257" s="1541">
        <f t="shared" si="32"/>
        <v>10634799.9</v>
      </c>
      <c r="Q1257" s="1541">
        <f t="shared" si="32"/>
        <v>11731948.91</v>
      </c>
      <c r="R1257" s="1541">
        <f t="shared" si="32"/>
        <v>-1089638.01</v>
      </c>
    </row>
    <row r="1258" spans="1:18" x14ac:dyDescent="0.3">
      <c r="A1258" s="1461" t="s">
        <v>3460</v>
      </c>
      <c r="B1258" s="1462"/>
      <c r="C1258" s="1456">
        <v>10634799.9</v>
      </c>
      <c r="D1258" s="1456">
        <v>11731948.91</v>
      </c>
      <c r="E1258" s="1471">
        <v>-1097149.01</v>
      </c>
      <c r="H1258" s="1461" t="s">
        <v>3460</v>
      </c>
      <c r="I1258" s="1896">
        <v>7511</v>
      </c>
      <c r="J1258" s="1460"/>
      <c r="K1258" s="1460"/>
      <c r="L1258" s="1896">
        <v>7511</v>
      </c>
      <c r="O1258" s="1541">
        <f t="shared" si="32"/>
        <v>7511</v>
      </c>
      <c r="P1258" s="1541">
        <f t="shared" si="32"/>
        <v>10634799.9</v>
      </c>
      <c r="Q1258" s="1541">
        <f t="shared" si="32"/>
        <v>11731948.91</v>
      </c>
      <c r="R1258" s="1541">
        <f t="shared" si="32"/>
        <v>-1089638.01</v>
      </c>
    </row>
    <row r="1259" spans="1:18" x14ac:dyDescent="0.3">
      <c r="A1259" s="1463" t="s">
        <v>2222</v>
      </c>
      <c r="B1259" s="1897">
        <v>49102.05</v>
      </c>
      <c r="C1259" s="1849">
        <v>184666299.40000001</v>
      </c>
      <c r="D1259" s="1849">
        <v>184490594.36000001</v>
      </c>
      <c r="E1259" s="1897">
        <v>224807.09</v>
      </c>
      <c r="H1259" s="1463" t="s">
        <v>2222</v>
      </c>
      <c r="I1259" s="1897">
        <v>17000</v>
      </c>
      <c r="J1259" s="1854"/>
      <c r="K1259" s="1854"/>
      <c r="L1259" s="1897">
        <v>17000</v>
      </c>
      <c r="O1259" s="1541">
        <f t="shared" si="32"/>
        <v>66102.05</v>
      </c>
      <c r="P1259" s="1541">
        <f t="shared" si="32"/>
        <v>184666299.40000001</v>
      </c>
      <c r="Q1259" s="1541">
        <f t="shared" si="32"/>
        <v>184490594.36000001</v>
      </c>
      <c r="R1259" s="1541">
        <f t="shared" si="32"/>
        <v>241807.09</v>
      </c>
    </row>
    <row r="1260" spans="1:18" x14ac:dyDescent="0.3">
      <c r="A1260" s="1852" t="s">
        <v>2412</v>
      </c>
      <c r="B1260" s="1896">
        <v>9783.31</v>
      </c>
      <c r="C1260" s="1456">
        <v>162684929</v>
      </c>
      <c r="D1260" s="1456">
        <v>162544643.36000001</v>
      </c>
      <c r="E1260" s="1896">
        <v>150068.95000000001</v>
      </c>
      <c r="H1260" s="1852" t="s">
        <v>2412</v>
      </c>
      <c r="I1260" s="1896">
        <v>17000</v>
      </c>
      <c r="J1260" s="1460"/>
      <c r="K1260" s="1460"/>
      <c r="L1260" s="1896">
        <v>17000</v>
      </c>
      <c r="O1260" s="1541">
        <f t="shared" si="32"/>
        <v>26783.309999999998</v>
      </c>
      <c r="P1260" s="1541">
        <f t="shared" si="32"/>
        <v>162684929</v>
      </c>
      <c r="Q1260" s="1541">
        <f t="shared" si="32"/>
        <v>162544643.36000001</v>
      </c>
      <c r="R1260" s="1541">
        <f t="shared" si="32"/>
        <v>167068.95000000001</v>
      </c>
    </row>
    <row r="1261" spans="1:18" x14ac:dyDescent="0.3">
      <c r="A1261" s="1855" t="s">
        <v>3461</v>
      </c>
      <c r="B1261" s="1462"/>
      <c r="C1261" s="1456">
        <v>50000</v>
      </c>
      <c r="D1261" s="1460"/>
      <c r="E1261" s="1896">
        <v>50000</v>
      </c>
      <c r="O1261" s="1541">
        <f t="shared" si="32"/>
        <v>0</v>
      </c>
      <c r="P1261" s="1541">
        <f t="shared" si="32"/>
        <v>50000</v>
      </c>
      <c r="Q1261" s="1541">
        <f t="shared" si="32"/>
        <v>0</v>
      </c>
      <c r="R1261" s="1541">
        <f t="shared" si="32"/>
        <v>50000</v>
      </c>
    </row>
    <row r="1262" spans="1:18" x14ac:dyDescent="0.3">
      <c r="A1262" s="1855" t="s">
        <v>3462</v>
      </c>
      <c r="B1262" s="1462"/>
      <c r="C1262" s="1456">
        <v>20852675</v>
      </c>
      <c r="D1262" s="1456">
        <v>20852675</v>
      </c>
      <c r="E1262" s="1462"/>
      <c r="O1262" s="1541">
        <f t="shared" si="32"/>
        <v>0</v>
      </c>
      <c r="P1262" s="1541">
        <f t="shared" si="32"/>
        <v>20852675</v>
      </c>
      <c r="Q1262" s="1541">
        <f t="shared" si="32"/>
        <v>20852675</v>
      </c>
      <c r="R1262" s="1541">
        <f t="shared" si="32"/>
        <v>0</v>
      </c>
    </row>
    <row r="1263" spans="1:18" x14ac:dyDescent="0.3">
      <c r="A1263" s="1852" t="s">
        <v>2413</v>
      </c>
      <c r="B1263" s="1896">
        <v>39318.74</v>
      </c>
      <c r="C1263" s="1456">
        <v>1078695.3999999999</v>
      </c>
      <c r="D1263" s="1456">
        <v>1093276</v>
      </c>
      <c r="E1263" s="1896">
        <v>24738.14</v>
      </c>
      <c r="O1263" s="1541">
        <f t="shared" si="32"/>
        <v>39318.74</v>
      </c>
      <c r="P1263" s="1541">
        <f t="shared" si="32"/>
        <v>1078695.3999999999</v>
      </c>
      <c r="Q1263" s="1541">
        <f t="shared" si="32"/>
        <v>1093276</v>
      </c>
      <c r="R1263" s="1541">
        <f t="shared" si="32"/>
        <v>24738.14</v>
      </c>
    </row>
    <row r="1264" spans="1:18" x14ac:dyDescent="0.3">
      <c r="A1264" s="1463" t="s">
        <v>1987</v>
      </c>
      <c r="B1264" s="1897">
        <v>332471</v>
      </c>
      <c r="C1264" s="1854"/>
      <c r="D1264" s="1854"/>
      <c r="E1264" s="1897">
        <v>332471</v>
      </c>
      <c r="O1264" s="1541">
        <f t="shared" si="32"/>
        <v>332471</v>
      </c>
      <c r="P1264" s="1541">
        <f t="shared" si="32"/>
        <v>0</v>
      </c>
      <c r="Q1264" s="1541">
        <f t="shared" si="32"/>
        <v>0</v>
      </c>
      <c r="R1264" s="1541">
        <f t="shared" si="32"/>
        <v>332471</v>
      </c>
    </row>
    <row r="1265" spans="1:18" x14ac:dyDescent="0.3">
      <c r="A1265" s="1852" t="s">
        <v>2414</v>
      </c>
      <c r="B1265" s="1896">
        <v>266990</v>
      </c>
      <c r="C1265" s="1460"/>
      <c r="D1265" s="1460"/>
      <c r="E1265" s="1896">
        <v>266990</v>
      </c>
      <c r="O1265" s="1541">
        <f t="shared" si="32"/>
        <v>266990</v>
      </c>
      <c r="P1265" s="1541">
        <f t="shared" si="32"/>
        <v>0</v>
      </c>
      <c r="Q1265" s="1541">
        <f t="shared" si="32"/>
        <v>0</v>
      </c>
      <c r="R1265" s="1541">
        <f t="shared" ref="R1265:R1286" si="33">E1265+L1265</f>
        <v>266990</v>
      </c>
    </row>
    <row r="1266" spans="1:18" x14ac:dyDescent="0.3">
      <c r="A1266" s="1852" t="s">
        <v>2415</v>
      </c>
      <c r="B1266" s="1896">
        <v>5001</v>
      </c>
      <c r="C1266" s="1460"/>
      <c r="D1266" s="1460"/>
      <c r="E1266" s="1896">
        <v>5001</v>
      </c>
      <c r="O1266" s="1541">
        <f t="shared" ref="O1266:Q1286" si="34">B1266+I1266</f>
        <v>5001</v>
      </c>
      <c r="P1266" s="1541">
        <f t="shared" si="34"/>
        <v>0</v>
      </c>
      <c r="Q1266" s="1541">
        <f t="shared" si="34"/>
        <v>0</v>
      </c>
      <c r="R1266" s="1541">
        <f t="shared" si="33"/>
        <v>5001</v>
      </c>
    </row>
    <row r="1267" spans="1:18" x14ac:dyDescent="0.3">
      <c r="A1267" s="1855" t="s">
        <v>2416</v>
      </c>
      <c r="B1267" s="1896">
        <v>60480</v>
      </c>
      <c r="C1267" s="1460"/>
      <c r="D1267" s="1460"/>
      <c r="E1267" s="1896">
        <v>60480</v>
      </c>
      <c r="O1267" s="1541">
        <f t="shared" si="34"/>
        <v>60480</v>
      </c>
      <c r="P1267" s="1541">
        <f t="shared" si="34"/>
        <v>0</v>
      </c>
      <c r="Q1267" s="1541">
        <f t="shared" si="34"/>
        <v>0</v>
      </c>
      <c r="R1267" s="1541">
        <f t="shared" si="33"/>
        <v>60480</v>
      </c>
    </row>
    <row r="1268" spans="1:18" x14ac:dyDescent="0.3">
      <c r="A1268" s="1461" t="s">
        <v>2221</v>
      </c>
      <c r="B1268" s="1894">
        <v>644793</v>
      </c>
      <c r="C1268" s="1462"/>
      <c r="D1268" s="1462"/>
      <c r="E1268" s="1894">
        <v>644793</v>
      </c>
      <c r="O1268" s="1541">
        <f t="shared" si="34"/>
        <v>644793</v>
      </c>
      <c r="P1268" s="1541">
        <f t="shared" si="34"/>
        <v>0</v>
      </c>
      <c r="Q1268" s="1541">
        <f t="shared" si="34"/>
        <v>0</v>
      </c>
      <c r="R1268" s="1541">
        <f t="shared" si="33"/>
        <v>644793</v>
      </c>
    </row>
    <row r="1269" spans="1:18" x14ac:dyDescent="0.3">
      <c r="A1269" s="1467" t="s">
        <v>2220</v>
      </c>
      <c r="B1269" s="1900">
        <v>3087099.21</v>
      </c>
      <c r="C1269" s="1470"/>
      <c r="D1269" s="1470"/>
      <c r="E1269" s="1900">
        <v>3087099.21</v>
      </c>
      <c r="H1269" s="1467" t="s">
        <v>2220</v>
      </c>
      <c r="I1269" s="1469">
        <v>-3087099.21</v>
      </c>
      <c r="J1269" s="1470"/>
      <c r="K1269" s="1470"/>
      <c r="L1269" s="1469">
        <v>-3087099.21</v>
      </c>
      <c r="O1269" s="1541">
        <f t="shared" si="34"/>
        <v>0</v>
      </c>
      <c r="P1269" s="1541">
        <f t="shared" si="34"/>
        <v>0</v>
      </c>
      <c r="Q1269" s="1541">
        <f t="shared" si="34"/>
        <v>0</v>
      </c>
      <c r="R1269" s="1541">
        <f t="shared" si="33"/>
        <v>0</v>
      </c>
    </row>
    <row r="1270" spans="1:18" x14ac:dyDescent="0.3">
      <c r="A1270" s="1461" t="s">
        <v>2218</v>
      </c>
      <c r="B1270" s="1894">
        <v>3752520.3</v>
      </c>
      <c r="C1270" s="1462"/>
      <c r="D1270" s="1462"/>
      <c r="E1270" s="1894">
        <v>3752520.3</v>
      </c>
      <c r="H1270" s="1461" t="s">
        <v>2219</v>
      </c>
      <c r="I1270" s="1468">
        <v>-3752520.3</v>
      </c>
      <c r="J1270" s="1462"/>
      <c r="K1270" s="1462"/>
      <c r="L1270" s="1468">
        <v>-3752520.3</v>
      </c>
      <c r="O1270" s="1541">
        <f t="shared" si="34"/>
        <v>0</v>
      </c>
      <c r="P1270" s="1541">
        <f t="shared" si="34"/>
        <v>0</v>
      </c>
      <c r="Q1270" s="1541">
        <f t="shared" si="34"/>
        <v>0</v>
      </c>
      <c r="R1270" s="1541">
        <f t="shared" si="33"/>
        <v>0</v>
      </c>
    </row>
    <row r="1271" spans="1:18" x14ac:dyDescent="0.3">
      <c r="A1271" s="1461" t="s">
        <v>3734</v>
      </c>
      <c r="B1271" s="1468">
        <v>-665421.09</v>
      </c>
      <c r="C1271" s="1462"/>
      <c r="D1271" s="1462"/>
      <c r="E1271" s="1468">
        <v>-665421.09</v>
      </c>
      <c r="H1271" s="1461" t="s">
        <v>3734</v>
      </c>
      <c r="I1271" s="1894">
        <v>665421.09</v>
      </c>
      <c r="J1271" s="1462"/>
      <c r="K1271" s="1462"/>
      <c r="L1271" s="1894">
        <v>665421.09</v>
      </c>
      <c r="O1271" s="1541">
        <f t="shared" si="34"/>
        <v>0</v>
      </c>
      <c r="P1271" s="1541">
        <f t="shared" si="34"/>
        <v>0</v>
      </c>
      <c r="Q1271" s="1541">
        <f t="shared" si="34"/>
        <v>0</v>
      </c>
      <c r="R1271" s="1541">
        <f t="shared" si="33"/>
        <v>0</v>
      </c>
    </row>
    <row r="1272" spans="1:18" x14ac:dyDescent="0.3">
      <c r="A1272" s="1467" t="s">
        <v>2217</v>
      </c>
      <c r="B1272" s="1466"/>
      <c r="C1272" s="1470"/>
      <c r="D1272" s="1465">
        <v>17352507.5</v>
      </c>
      <c r="E1272" s="1469">
        <v>-17352507.5</v>
      </c>
      <c r="O1272" s="1541">
        <f t="shared" si="34"/>
        <v>0</v>
      </c>
      <c r="P1272" s="1541">
        <f t="shared" si="34"/>
        <v>0</v>
      </c>
      <c r="Q1272" s="1541">
        <f t="shared" si="34"/>
        <v>17352507.5</v>
      </c>
      <c r="R1272" s="1541">
        <f t="shared" si="33"/>
        <v>-17352507.5</v>
      </c>
    </row>
    <row r="1273" spans="1:18" x14ac:dyDescent="0.3">
      <c r="A1273" s="1461" t="s">
        <v>3463</v>
      </c>
      <c r="B1273" s="1460"/>
      <c r="C1273" s="1462"/>
      <c r="D1273" s="1459">
        <v>33007.1</v>
      </c>
      <c r="E1273" s="1468">
        <v>-33007.1</v>
      </c>
      <c r="O1273" s="1541">
        <f t="shared" si="34"/>
        <v>0</v>
      </c>
      <c r="P1273" s="1541">
        <f t="shared" si="34"/>
        <v>0</v>
      </c>
      <c r="Q1273" s="1541">
        <f t="shared" si="34"/>
        <v>33007.1</v>
      </c>
      <c r="R1273" s="1541">
        <f t="shared" si="33"/>
        <v>-33007.1</v>
      </c>
    </row>
    <row r="1274" spans="1:18" x14ac:dyDescent="0.3">
      <c r="A1274" s="1461" t="s">
        <v>2216</v>
      </c>
      <c r="B1274" s="1460"/>
      <c r="C1274" s="1462"/>
      <c r="D1274" s="1459">
        <v>427809.26</v>
      </c>
      <c r="E1274" s="1468">
        <v>-427809.26</v>
      </c>
      <c r="O1274" s="1541">
        <f t="shared" si="34"/>
        <v>0</v>
      </c>
      <c r="P1274" s="1541">
        <f t="shared" si="34"/>
        <v>0</v>
      </c>
      <c r="Q1274" s="1541">
        <f t="shared" si="34"/>
        <v>427809.26</v>
      </c>
      <c r="R1274" s="1541">
        <f t="shared" si="33"/>
        <v>-427809.26</v>
      </c>
    </row>
    <row r="1275" spans="1:18" x14ac:dyDescent="0.3">
      <c r="A1275" s="1461" t="s">
        <v>3464</v>
      </c>
      <c r="B1275" s="1460"/>
      <c r="C1275" s="1462"/>
      <c r="D1275" s="1459">
        <v>16891691.140000001</v>
      </c>
      <c r="E1275" s="1468">
        <v>-16891691.140000001</v>
      </c>
      <c r="O1275" s="1541">
        <f t="shared" si="34"/>
        <v>0</v>
      </c>
      <c r="P1275" s="1541">
        <f t="shared" si="34"/>
        <v>0</v>
      </c>
      <c r="Q1275" s="1541">
        <f t="shared" si="34"/>
        <v>16891691.140000001</v>
      </c>
      <c r="R1275" s="1541">
        <f t="shared" si="33"/>
        <v>-16891691.140000001</v>
      </c>
    </row>
    <row r="1276" spans="1:18" x14ac:dyDescent="0.3">
      <c r="A1276" s="2092" t="s">
        <v>3743</v>
      </c>
      <c r="B1276" s="1460"/>
      <c r="C1276" s="1462"/>
      <c r="D1276" s="1459"/>
      <c r="E1276" s="2093">
        <v>-950000</v>
      </c>
      <c r="O1276" s="1541"/>
      <c r="P1276" s="1541"/>
      <c r="Q1276" s="1541"/>
      <c r="R1276" s="1888">
        <v>-950000</v>
      </c>
    </row>
    <row r="1277" spans="1:18" x14ac:dyDescent="0.3">
      <c r="A1277" s="1461" t="s">
        <v>3744</v>
      </c>
      <c r="B1277" s="1460"/>
      <c r="C1277" s="1462"/>
      <c r="D1277" s="1459">
        <v>950000</v>
      </c>
      <c r="E1277" s="1468">
        <v>-950000</v>
      </c>
      <c r="O1277" s="1541"/>
      <c r="P1277" s="1541"/>
      <c r="Q1277" s="1541"/>
      <c r="R1277" s="1541">
        <v>-950000</v>
      </c>
    </row>
    <row r="1278" spans="1:18" x14ac:dyDescent="0.3">
      <c r="A1278" s="1467" t="s">
        <v>2215</v>
      </c>
      <c r="B1278" s="1466"/>
      <c r="C1278" s="1465">
        <v>25090433.530000001</v>
      </c>
      <c r="D1278" s="1465">
        <v>1284257.92</v>
      </c>
      <c r="E1278" s="1900">
        <v>23806175.609999999</v>
      </c>
      <c r="O1278" s="1541">
        <f t="shared" si="34"/>
        <v>0</v>
      </c>
      <c r="P1278" s="1541">
        <f t="shared" si="34"/>
        <v>25090433.530000001</v>
      </c>
      <c r="Q1278" s="1541">
        <f t="shared" si="34"/>
        <v>1284257.92</v>
      </c>
      <c r="R1278" s="1541">
        <f t="shared" si="33"/>
        <v>23806175.609999999</v>
      </c>
    </row>
    <row r="1279" spans="1:18" x14ac:dyDescent="0.3">
      <c r="A1279" s="1461" t="s">
        <v>2214</v>
      </c>
      <c r="B1279" s="1460"/>
      <c r="C1279" s="1459">
        <v>8823700.4800000004</v>
      </c>
      <c r="D1279" s="1459">
        <v>2378.5500000000002</v>
      </c>
      <c r="E1279" s="1894">
        <v>8821321.9299999997</v>
      </c>
      <c r="O1279" s="1541">
        <f t="shared" si="34"/>
        <v>0</v>
      </c>
      <c r="P1279" s="1541">
        <f t="shared" si="34"/>
        <v>8823700.4800000004</v>
      </c>
      <c r="Q1279" s="1541">
        <f t="shared" si="34"/>
        <v>2378.5500000000002</v>
      </c>
      <c r="R1279" s="1541">
        <f t="shared" si="33"/>
        <v>8821321.9299999997</v>
      </c>
    </row>
    <row r="1280" spans="1:18" x14ac:dyDescent="0.3">
      <c r="A1280" s="1461" t="s">
        <v>3465</v>
      </c>
      <c r="B1280" s="1460"/>
      <c r="C1280" s="1459">
        <v>16229533.050000001</v>
      </c>
      <c r="D1280" s="1462"/>
      <c r="E1280" s="1894">
        <v>16229533.050000001</v>
      </c>
      <c r="O1280" s="1541">
        <f t="shared" si="34"/>
        <v>0</v>
      </c>
      <c r="P1280" s="1541">
        <f t="shared" si="34"/>
        <v>16229533.050000001</v>
      </c>
      <c r="Q1280" s="1541">
        <f t="shared" si="34"/>
        <v>0</v>
      </c>
      <c r="R1280" s="1541">
        <f t="shared" si="33"/>
        <v>16229533.050000001</v>
      </c>
    </row>
    <row r="1281" spans="1:18" x14ac:dyDescent="0.3">
      <c r="A1281" s="1461" t="s">
        <v>3466</v>
      </c>
      <c r="B1281" s="1460"/>
      <c r="C1281" s="1459">
        <v>37200</v>
      </c>
      <c r="D1281" s="1462"/>
      <c r="E1281" s="1894">
        <v>37200</v>
      </c>
      <c r="O1281" s="1541">
        <f t="shared" si="34"/>
        <v>0</v>
      </c>
      <c r="P1281" s="1541">
        <f t="shared" si="34"/>
        <v>37200</v>
      </c>
      <c r="Q1281" s="1541">
        <f t="shared" si="34"/>
        <v>0</v>
      </c>
      <c r="R1281" s="1541">
        <f t="shared" si="33"/>
        <v>37200</v>
      </c>
    </row>
    <row r="1282" spans="1:18" x14ac:dyDescent="0.3">
      <c r="A1282" s="1461" t="s">
        <v>2162</v>
      </c>
      <c r="B1282" s="1460"/>
      <c r="C1282" s="1462"/>
      <c r="D1282" s="1459">
        <v>1281879.3700000001</v>
      </c>
      <c r="E1282" s="1468">
        <v>-1281879.3700000001</v>
      </c>
      <c r="O1282" s="1541">
        <f t="shared" si="34"/>
        <v>0</v>
      </c>
      <c r="P1282" s="1541">
        <f t="shared" si="34"/>
        <v>0</v>
      </c>
      <c r="Q1282" s="1541">
        <f t="shared" si="34"/>
        <v>1281879.3700000001</v>
      </c>
      <c r="R1282" s="1541">
        <f t="shared" si="33"/>
        <v>-1281879.3700000001</v>
      </c>
    </row>
    <row r="1283" spans="1:18" x14ac:dyDescent="0.3">
      <c r="A1283" s="1467" t="s">
        <v>2213</v>
      </c>
      <c r="B1283" s="1466"/>
      <c r="C1283" s="1465">
        <v>127793.44</v>
      </c>
      <c r="D1283" s="1470"/>
      <c r="E1283" s="1900">
        <v>127793.44</v>
      </c>
      <c r="O1283" s="1541">
        <f t="shared" si="34"/>
        <v>0</v>
      </c>
      <c r="P1283" s="1541">
        <f t="shared" si="34"/>
        <v>127793.44</v>
      </c>
      <c r="Q1283" s="1541">
        <f t="shared" si="34"/>
        <v>0</v>
      </c>
      <c r="R1283" s="1541">
        <f t="shared" si="33"/>
        <v>127793.44</v>
      </c>
    </row>
    <row r="1284" spans="1:18" x14ac:dyDescent="0.3">
      <c r="A1284" s="1461" t="s">
        <v>3467</v>
      </c>
      <c r="B1284" s="1460"/>
      <c r="C1284" s="1459">
        <v>200</v>
      </c>
      <c r="D1284" s="1462"/>
      <c r="E1284" s="1894">
        <v>200</v>
      </c>
      <c r="O1284" s="1541">
        <f t="shared" si="34"/>
        <v>0</v>
      </c>
      <c r="P1284" s="1541">
        <f t="shared" si="34"/>
        <v>200</v>
      </c>
      <c r="Q1284" s="1541">
        <f t="shared" si="34"/>
        <v>0</v>
      </c>
      <c r="R1284" s="1541">
        <f t="shared" si="33"/>
        <v>200</v>
      </c>
    </row>
    <row r="1285" spans="1:18" x14ac:dyDescent="0.3">
      <c r="A1285" s="1461" t="s">
        <v>3468</v>
      </c>
      <c r="B1285" s="1460"/>
      <c r="C1285" s="1459">
        <v>62593.440000000002</v>
      </c>
      <c r="D1285" s="1462"/>
      <c r="E1285" s="1894">
        <v>62593.440000000002</v>
      </c>
      <c r="O1285" s="1541">
        <f t="shared" si="34"/>
        <v>0</v>
      </c>
      <c r="P1285" s="1541">
        <f t="shared" si="34"/>
        <v>62593.440000000002</v>
      </c>
      <c r="Q1285" s="1541">
        <f t="shared" si="34"/>
        <v>0</v>
      </c>
      <c r="R1285" s="1541">
        <f t="shared" si="33"/>
        <v>62593.440000000002</v>
      </c>
    </row>
    <row r="1286" spans="1:18" x14ac:dyDescent="0.3">
      <c r="A1286" s="1461" t="s">
        <v>3469</v>
      </c>
      <c r="B1286" s="1460"/>
      <c r="C1286" s="1459">
        <v>65000</v>
      </c>
      <c r="D1286" s="1462"/>
      <c r="E1286" s="1894">
        <v>65000</v>
      </c>
      <c r="O1286" s="1541">
        <f t="shared" si="34"/>
        <v>0</v>
      </c>
      <c r="P1286" s="1541">
        <f t="shared" si="34"/>
        <v>65000</v>
      </c>
      <c r="Q1286" s="1541">
        <f t="shared" si="34"/>
        <v>0</v>
      </c>
      <c r="R1286" s="1541">
        <f t="shared" si="33"/>
        <v>65000</v>
      </c>
    </row>
    <row r="1287" spans="1:18" x14ac:dyDescent="0.3">
      <c r="A1287" s="1467" t="s">
        <v>2211</v>
      </c>
      <c r="B1287" s="1466"/>
      <c r="C1287" s="1470"/>
      <c r="D1287" s="1465">
        <v>20225.2</v>
      </c>
      <c r="E1287" s="1469">
        <v>-20225.2</v>
      </c>
      <c r="O1287" s="1541">
        <f t="shared" ref="O1287:O1350" si="35">B1287+I1287</f>
        <v>0</v>
      </c>
      <c r="P1287" s="1541">
        <f t="shared" ref="P1287:P1350" si="36">C1287+J1287</f>
        <v>0</v>
      </c>
      <c r="Q1287" s="1541">
        <f t="shared" ref="Q1287:Q1350" si="37">D1287+K1287</f>
        <v>20225.2</v>
      </c>
      <c r="R1287" s="1541">
        <f t="shared" ref="R1287:R1350" si="38">E1287+L1287</f>
        <v>-20225.2</v>
      </c>
    </row>
    <row r="1288" spans="1:18" x14ac:dyDescent="0.3">
      <c r="A1288" s="1461" t="s">
        <v>2210</v>
      </c>
      <c r="B1288" s="1460"/>
      <c r="C1288" s="1462"/>
      <c r="D1288" s="1459">
        <v>20225.2</v>
      </c>
      <c r="E1288" s="1468">
        <v>-20225.2</v>
      </c>
      <c r="O1288" s="1541">
        <f t="shared" si="35"/>
        <v>0</v>
      </c>
      <c r="P1288" s="1541">
        <f t="shared" si="36"/>
        <v>0</v>
      </c>
      <c r="Q1288" s="1541">
        <f t="shared" si="37"/>
        <v>20225.2</v>
      </c>
      <c r="R1288" s="1541">
        <f t="shared" si="38"/>
        <v>-20225.2</v>
      </c>
    </row>
    <row r="1289" spans="1:18" x14ac:dyDescent="0.3">
      <c r="A1289" s="1467" t="s">
        <v>2209</v>
      </c>
      <c r="B1289" s="1466"/>
      <c r="C1289" s="1465">
        <v>14802074.42</v>
      </c>
      <c r="D1289" s="1465">
        <v>1321653.32</v>
      </c>
      <c r="E1289" s="1900">
        <v>13480421.1</v>
      </c>
      <c r="H1289" s="1467" t="s">
        <v>2209</v>
      </c>
      <c r="I1289" s="1466"/>
      <c r="J1289" s="1465">
        <v>35890</v>
      </c>
      <c r="K1289" s="1470"/>
      <c r="L1289" s="1900">
        <v>35890</v>
      </c>
      <c r="O1289" s="1541">
        <f t="shared" si="35"/>
        <v>0</v>
      </c>
      <c r="P1289" s="1541">
        <f t="shared" si="36"/>
        <v>14837964.42</v>
      </c>
      <c r="Q1289" s="1541">
        <f t="shared" si="37"/>
        <v>1321653.32</v>
      </c>
      <c r="R1289" s="1541">
        <f t="shared" si="38"/>
        <v>13516311.1</v>
      </c>
    </row>
    <row r="1290" spans="1:18" x14ac:dyDescent="0.3">
      <c r="A1290" s="1463" t="s">
        <v>2208</v>
      </c>
      <c r="B1290" s="1873"/>
      <c r="C1290" s="1874">
        <v>3974974.05</v>
      </c>
      <c r="D1290" s="1874">
        <v>1229442</v>
      </c>
      <c r="E1290" s="1898">
        <v>2745532.05</v>
      </c>
      <c r="O1290" s="1541">
        <f t="shared" si="35"/>
        <v>0</v>
      </c>
      <c r="P1290" s="1541">
        <f t="shared" si="36"/>
        <v>3974974.05</v>
      </c>
      <c r="Q1290" s="1541">
        <f t="shared" si="37"/>
        <v>1229442</v>
      </c>
      <c r="R1290" s="1541">
        <f t="shared" si="38"/>
        <v>2745532.05</v>
      </c>
    </row>
    <row r="1291" spans="1:18" x14ac:dyDescent="0.3">
      <c r="A1291" s="1852" t="s">
        <v>3689</v>
      </c>
      <c r="B1291" s="1462"/>
      <c r="C1291" s="1456">
        <v>2268994.85</v>
      </c>
      <c r="D1291" s="1456">
        <v>1229442</v>
      </c>
      <c r="E1291" s="1896">
        <v>1039552.85</v>
      </c>
      <c r="O1291" s="1541">
        <f t="shared" si="35"/>
        <v>0</v>
      </c>
      <c r="P1291" s="1541">
        <f t="shared" si="36"/>
        <v>2268994.85</v>
      </c>
      <c r="Q1291" s="1541">
        <f t="shared" si="37"/>
        <v>1229442</v>
      </c>
      <c r="R1291" s="1541">
        <f t="shared" si="38"/>
        <v>1039552.85</v>
      </c>
    </row>
    <row r="1292" spans="1:18" x14ac:dyDescent="0.3">
      <c r="A1292" s="1855" t="s">
        <v>2478</v>
      </c>
      <c r="B1292" s="1462"/>
      <c r="C1292" s="1456">
        <v>1682891.2</v>
      </c>
      <c r="D1292" s="1460"/>
      <c r="E1292" s="1896">
        <v>1682891.2</v>
      </c>
      <c r="O1292" s="1541">
        <f t="shared" si="35"/>
        <v>0</v>
      </c>
      <c r="P1292" s="1541">
        <f t="shared" si="36"/>
        <v>1682891.2</v>
      </c>
      <c r="Q1292" s="1541">
        <f t="shared" si="37"/>
        <v>0</v>
      </c>
      <c r="R1292" s="1541">
        <f t="shared" si="38"/>
        <v>1682891.2</v>
      </c>
    </row>
    <row r="1293" spans="1:18" x14ac:dyDescent="0.3">
      <c r="A1293" s="1852" t="s">
        <v>3690</v>
      </c>
      <c r="B1293" s="1462"/>
      <c r="C1293" s="1456">
        <v>23088</v>
      </c>
      <c r="D1293" s="1460"/>
      <c r="E1293" s="1896">
        <v>23088</v>
      </c>
      <c r="O1293" s="1541">
        <f t="shared" si="35"/>
        <v>0</v>
      </c>
      <c r="P1293" s="1541">
        <f t="shared" si="36"/>
        <v>23088</v>
      </c>
      <c r="Q1293" s="1541">
        <f t="shared" si="37"/>
        <v>0</v>
      </c>
      <c r="R1293" s="1541">
        <f t="shared" si="38"/>
        <v>23088</v>
      </c>
    </row>
    <row r="1294" spans="1:18" x14ac:dyDescent="0.3">
      <c r="A1294" s="1461" t="s">
        <v>2291</v>
      </c>
      <c r="B1294" s="1460"/>
      <c r="C1294" s="1459">
        <v>96866</v>
      </c>
      <c r="D1294" s="1462"/>
      <c r="E1294" s="1894">
        <v>96866</v>
      </c>
      <c r="O1294" s="1541">
        <f t="shared" si="35"/>
        <v>0</v>
      </c>
      <c r="P1294" s="1541">
        <f t="shared" si="36"/>
        <v>96866</v>
      </c>
      <c r="Q1294" s="1541">
        <f t="shared" si="37"/>
        <v>0</v>
      </c>
      <c r="R1294" s="1541">
        <f t="shared" si="38"/>
        <v>96866</v>
      </c>
    </row>
    <row r="1295" spans="1:18" x14ac:dyDescent="0.3">
      <c r="A1295" s="1461" t="s">
        <v>3470</v>
      </c>
      <c r="B1295" s="1460"/>
      <c r="C1295" s="1459">
        <v>3601.69</v>
      </c>
      <c r="D1295" s="1462"/>
      <c r="E1295" s="1894">
        <v>3601.69</v>
      </c>
      <c r="O1295" s="1541">
        <f t="shared" si="35"/>
        <v>0</v>
      </c>
      <c r="P1295" s="1541">
        <f t="shared" si="36"/>
        <v>3601.69</v>
      </c>
      <c r="Q1295" s="1541">
        <f t="shared" si="37"/>
        <v>0</v>
      </c>
      <c r="R1295" s="1541">
        <f t="shared" si="38"/>
        <v>3601.69</v>
      </c>
    </row>
    <row r="1296" spans="1:18" x14ac:dyDescent="0.3">
      <c r="A1296" s="1461" t="s">
        <v>2207</v>
      </c>
      <c r="B1296" s="1460"/>
      <c r="C1296" s="1459">
        <v>300000</v>
      </c>
      <c r="D1296" s="1462"/>
      <c r="E1296" s="1894">
        <v>300000</v>
      </c>
      <c r="O1296" s="1541">
        <f t="shared" si="35"/>
        <v>0</v>
      </c>
      <c r="P1296" s="1541">
        <f t="shared" si="36"/>
        <v>300000</v>
      </c>
      <c r="Q1296" s="1541">
        <f t="shared" si="37"/>
        <v>0</v>
      </c>
      <c r="R1296" s="1541">
        <f t="shared" si="38"/>
        <v>300000</v>
      </c>
    </row>
    <row r="1297" spans="1:18" x14ac:dyDescent="0.3">
      <c r="A1297" s="1461" t="s">
        <v>3471</v>
      </c>
      <c r="B1297" s="1460"/>
      <c r="C1297" s="1459">
        <v>43614.16</v>
      </c>
      <c r="D1297" s="1462"/>
      <c r="E1297" s="1894">
        <v>43614.16</v>
      </c>
      <c r="O1297" s="1541">
        <f t="shared" si="35"/>
        <v>0</v>
      </c>
      <c r="P1297" s="1541">
        <f t="shared" si="36"/>
        <v>43614.16</v>
      </c>
      <c r="Q1297" s="1541">
        <f t="shared" si="37"/>
        <v>0</v>
      </c>
      <c r="R1297" s="1541">
        <f t="shared" si="38"/>
        <v>43614.16</v>
      </c>
    </row>
    <row r="1298" spans="1:18" x14ac:dyDescent="0.3">
      <c r="A1298" s="1461" t="s">
        <v>3472</v>
      </c>
      <c r="B1298" s="1460"/>
      <c r="C1298" s="1459">
        <v>450</v>
      </c>
      <c r="D1298" s="1462"/>
      <c r="E1298" s="1894">
        <v>450</v>
      </c>
      <c r="O1298" s="1541">
        <f t="shared" si="35"/>
        <v>0</v>
      </c>
      <c r="P1298" s="1541">
        <f t="shared" si="36"/>
        <v>450</v>
      </c>
      <c r="Q1298" s="1541">
        <f t="shared" si="37"/>
        <v>0</v>
      </c>
      <c r="R1298" s="1541">
        <f t="shared" si="38"/>
        <v>450</v>
      </c>
    </row>
    <row r="1299" spans="1:18" x14ac:dyDescent="0.3">
      <c r="A1299" s="1461" t="s">
        <v>3735</v>
      </c>
      <c r="B1299" s="1460"/>
      <c r="C1299" s="1459">
        <v>24780</v>
      </c>
      <c r="D1299" s="1462"/>
      <c r="E1299" s="1894">
        <v>24780</v>
      </c>
      <c r="O1299" s="1541">
        <f t="shared" si="35"/>
        <v>0</v>
      </c>
      <c r="P1299" s="1541">
        <f t="shared" si="36"/>
        <v>24780</v>
      </c>
      <c r="Q1299" s="1541">
        <f t="shared" si="37"/>
        <v>0</v>
      </c>
      <c r="R1299" s="1541">
        <f t="shared" si="38"/>
        <v>24780</v>
      </c>
    </row>
    <row r="1300" spans="1:18" x14ac:dyDescent="0.3">
      <c r="A1300" s="1461" t="s">
        <v>3473</v>
      </c>
      <c r="B1300" s="1460"/>
      <c r="C1300" s="1459">
        <v>13954</v>
      </c>
      <c r="D1300" s="1462"/>
      <c r="E1300" s="1894">
        <v>13954</v>
      </c>
      <c r="O1300" s="1541">
        <f t="shared" si="35"/>
        <v>0</v>
      </c>
      <c r="P1300" s="1541">
        <f t="shared" si="36"/>
        <v>13954</v>
      </c>
      <c r="Q1300" s="1541">
        <f t="shared" si="37"/>
        <v>0</v>
      </c>
      <c r="R1300" s="1541">
        <f t="shared" si="38"/>
        <v>13954</v>
      </c>
    </row>
    <row r="1301" spans="1:18" x14ac:dyDescent="0.3">
      <c r="A1301" s="1461" t="s">
        <v>3474</v>
      </c>
      <c r="B1301" s="1460"/>
      <c r="C1301" s="1459">
        <v>202000</v>
      </c>
      <c r="D1301" s="1462"/>
      <c r="E1301" s="1894">
        <v>202000</v>
      </c>
      <c r="O1301" s="1541">
        <f t="shared" si="35"/>
        <v>0</v>
      </c>
      <c r="P1301" s="1541">
        <f t="shared" si="36"/>
        <v>202000</v>
      </c>
      <c r="Q1301" s="1541">
        <f t="shared" si="37"/>
        <v>0</v>
      </c>
      <c r="R1301" s="1541">
        <f t="shared" si="38"/>
        <v>202000</v>
      </c>
    </row>
    <row r="1302" spans="1:18" x14ac:dyDescent="0.3">
      <c r="A1302" s="1461" t="s">
        <v>2206</v>
      </c>
      <c r="B1302" s="1460"/>
      <c r="C1302" s="1459">
        <v>45000</v>
      </c>
      <c r="D1302" s="1462"/>
      <c r="E1302" s="1894">
        <v>45000</v>
      </c>
      <c r="O1302" s="1541">
        <f t="shared" si="35"/>
        <v>0</v>
      </c>
      <c r="P1302" s="1541">
        <f t="shared" si="36"/>
        <v>45000</v>
      </c>
      <c r="Q1302" s="1541">
        <f t="shared" si="37"/>
        <v>0</v>
      </c>
      <c r="R1302" s="1541">
        <f t="shared" si="38"/>
        <v>45000</v>
      </c>
    </row>
    <row r="1303" spans="1:18" x14ac:dyDescent="0.3">
      <c r="A1303" s="1856" t="s">
        <v>3475</v>
      </c>
      <c r="B1303" s="1460"/>
      <c r="C1303" s="1459">
        <v>138300</v>
      </c>
      <c r="D1303" s="1462"/>
      <c r="E1303" s="1894">
        <v>138300</v>
      </c>
      <c r="O1303" s="1541">
        <f t="shared" si="35"/>
        <v>0</v>
      </c>
      <c r="P1303" s="1541">
        <f t="shared" si="36"/>
        <v>138300</v>
      </c>
      <c r="Q1303" s="1541">
        <f t="shared" si="37"/>
        <v>0</v>
      </c>
      <c r="R1303" s="1541">
        <f t="shared" si="38"/>
        <v>138300</v>
      </c>
    </row>
    <row r="1304" spans="1:18" x14ac:dyDescent="0.3">
      <c r="A1304" s="1856" t="s">
        <v>3476</v>
      </c>
      <c r="B1304" s="1460"/>
      <c r="C1304" s="1459">
        <v>1382070</v>
      </c>
      <c r="D1304" s="1462"/>
      <c r="E1304" s="1894">
        <v>1382070</v>
      </c>
      <c r="O1304" s="1541">
        <f t="shared" si="35"/>
        <v>0</v>
      </c>
      <c r="P1304" s="1541">
        <f t="shared" si="36"/>
        <v>1382070</v>
      </c>
      <c r="Q1304" s="1541">
        <f t="shared" si="37"/>
        <v>0</v>
      </c>
      <c r="R1304" s="1541">
        <f t="shared" si="38"/>
        <v>1382070</v>
      </c>
    </row>
    <row r="1305" spans="1:18" x14ac:dyDescent="0.3">
      <c r="A1305" s="1461" t="s">
        <v>3477</v>
      </c>
      <c r="B1305" s="1460"/>
      <c r="C1305" s="1459">
        <v>811868</v>
      </c>
      <c r="D1305" s="1462"/>
      <c r="E1305" s="1894">
        <v>811868</v>
      </c>
      <c r="O1305" s="1541">
        <f t="shared" si="35"/>
        <v>0</v>
      </c>
      <c r="P1305" s="1541">
        <f t="shared" si="36"/>
        <v>811868</v>
      </c>
      <c r="Q1305" s="1541">
        <f t="shared" si="37"/>
        <v>0</v>
      </c>
      <c r="R1305" s="1541">
        <f t="shared" si="38"/>
        <v>811868</v>
      </c>
    </row>
    <row r="1306" spans="1:18" x14ac:dyDescent="0.3">
      <c r="A1306" s="1461" t="s">
        <v>3478</v>
      </c>
      <c r="B1306" s="1460"/>
      <c r="C1306" s="1459">
        <v>57150</v>
      </c>
      <c r="D1306" s="1462"/>
      <c r="E1306" s="1894">
        <v>57150</v>
      </c>
      <c r="O1306" s="1541">
        <f t="shared" si="35"/>
        <v>0</v>
      </c>
      <c r="P1306" s="1541">
        <f t="shared" si="36"/>
        <v>57150</v>
      </c>
      <c r="Q1306" s="1541">
        <f t="shared" si="37"/>
        <v>0</v>
      </c>
      <c r="R1306" s="1541">
        <f t="shared" si="38"/>
        <v>57150</v>
      </c>
    </row>
    <row r="1307" spans="1:18" x14ac:dyDescent="0.3">
      <c r="A1307" s="1461" t="s">
        <v>3479</v>
      </c>
      <c r="B1307" s="1460"/>
      <c r="C1307" s="1459">
        <v>764100</v>
      </c>
      <c r="D1307" s="1462"/>
      <c r="E1307" s="1894">
        <v>764100</v>
      </c>
      <c r="O1307" s="1541">
        <f t="shared" si="35"/>
        <v>0</v>
      </c>
      <c r="P1307" s="1541">
        <f t="shared" si="36"/>
        <v>764100</v>
      </c>
      <c r="Q1307" s="1541">
        <f t="shared" si="37"/>
        <v>0</v>
      </c>
      <c r="R1307" s="1541">
        <f t="shared" si="38"/>
        <v>764100</v>
      </c>
    </row>
    <row r="1308" spans="1:18" x14ac:dyDescent="0.3">
      <c r="A1308" s="1461" t="s">
        <v>3480</v>
      </c>
      <c r="B1308" s="1460"/>
      <c r="C1308" s="1459">
        <v>11460</v>
      </c>
      <c r="D1308" s="1462"/>
      <c r="E1308" s="1894">
        <v>11460</v>
      </c>
      <c r="O1308" s="1541">
        <f t="shared" si="35"/>
        <v>0</v>
      </c>
      <c r="P1308" s="1541">
        <f t="shared" si="36"/>
        <v>11460</v>
      </c>
      <c r="Q1308" s="1541">
        <f t="shared" si="37"/>
        <v>0</v>
      </c>
      <c r="R1308" s="1541">
        <f t="shared" si="38"/>
        <v>11460</v>
      </c>
    </row>
    <row r="1309" spans="1:18" x14ac:dyDescent="0.3">
      <c r="A1309" s="1461" t="s">
        <v>2196</v>
      </c>
      <c r="B1309" s="1460"/>
      <c r="C1309" s="1459">
        <v>18500</v>
      </c>
      <c r="D1309" s="1462"/>
      <c r="E1309" s="1894">
        <v>18500</v>
      </c>
      <c r="H1309" s="1461" t="s">
        <v>2196</v>
      </c>
      <c r="I1309" s="1460"/>
      <c r="J1309" s="1459">
        <v>7500</v>
      </c>
      <c r="K1309" s="1462"/>
      <c r="L1309" s="1894">
        <v>7500</v>
      </c>
      <c r="O1309" s="1541">
        <f t="shared" si="35"/>
        <v>0</v>
      </c>
      <c r="P1309" s="1541">
        <f t="shared" si="36"/>
        <v>26000</v>
      </c>
      <c r="Q1309" s="1541">
        <f t="shared" si="37"/>
        <v>0</v>
      </c>
      <c r="R1309" s="1541">
        <f t="shared" si="38"/>
        <v>26000</v>
      </c>
    </row>
    <row r="1310" spans="1:18" x14ac:dyDescent="0.3">
      <c r="A1310" s="1461" t="s">
        <v>2382</v>
      </c>
      <c r="B1310" s="1460"/>
      <c r="C1310" s="1459">
        <v>45000</v>
      </c>
      <c r="D1310" s="1462"/>
      <c r="E1310" s="1894">
        <v>45000</v>
      </c>
      <c r="O1310" s="1541">
        <f t="shared" si="35"/>
        <v>0</v>
      </c>
      <c r="P1310" s="1541">
        <f t="shared" si="36"/>
        <v>45000</v>
      </c>
      <c r="Q1310" s="1541">
        <f t="shared" si="37"/>
        <v>0</v>
      </c>
      <c r="R1310" s="1541">
        <f t="shared" si="38"/>
        <v>45000</v>
      </c>
    </row>
    <row r="1311" spans="1:18" x14ac:dyDescent="0.3">
      <c r="A1311" s="1461" t="s">
        <v>3481</v>
      </c>
      <c r="B1311" s="1460"/>
      <c r="C1311" s="1459">
        <v>1500</v>
      </c>
      <c r="D1311" s="1462"/>
      <c r="E1311" s="1894">
        <v>1500</v>
      </c>
      <c r="O1311" s="1541">
        <f t="shared" si="35"/>
        <v>0</v>
      </c>
      <c r="P1311" s="1541">
        <f t="shared" si="36"/>
        <v>1500</v>
      </c>
      <c r="Q1311" s="1541">
        <f t="shared" si="37"/>
        <v>0</v>
      </c>
      <c r="R1311" s="1541">
        <f t="shared" si="38"/>
        <v>1500</v>
      </c>
    </row>
    <row r="1312" spans="1:18" x14ac:dyDescent="0.3">
      <c r="A1312" s="1461" t="s">
        <v>3482</v>
      </c>
      <c r="B1312" s="1460"/>
      <c r="C1312" s="1459">
        <v>60000</v>
      </c>
      <c r="D1312" s="1462"/>
      <c r="E1312" s="1894">
        <v>60000</v>
      </c>
      <c r="O1312" s="1541">
        <f t="shared" si="35"/>
        <v>0</v>
      </c>
      <c r="P1312" s="1541">
        <f t="shared" si="36"/>
        <v>60000</v>
      </c>
      <c r="Q1312" s="1541">
        <f t="shared" si="37"/>
        <v>0</v>
      </c>
      <c r="R1312" s="1541">
        <f t="shared" si="38"/>
        <v>60000</v>
      </c>
    </row>
    <row r="1313" spans="1:18" x14ac:dyDescent="0.3">
      <c r="A1313" s="1461" t="s">
        <v>3483</v>
      </c>
      <c r="B1313" s="1460"/>
      <c r="C1313" s="1459">
        <v>40000</v>
      </c>
      <c r="D1313" s="1462"/>
      <c r="E1313" s="1894">
        <v>40000</v>
      </c>
      <c r="O1313" s="1541">
        <f t="shared" si="35"/>
        <v>0</v>
      </c>
      <c r="P1313" s="1541">
        <f t="shared" si="36"/>
        <v>40000</v>
      </c>
      <c r="Q1313" s="1541">
        <f t="shared" si="37"/>
        <v>0</v>
      </c>
      <c r="R1313" s="1541">
        <f t="shared" si="38"/>
        <v>40000</v>
      </c>
    </row>
    <row r="1314" spans="1:18" x14ac:dyDescent="0.3">
      <c r="A1314" s="1461" t="s">
        <v>3484</v>
      </c>
      <c r="B1314" s="1460"/>
      <c r="C1314" s="1459">
        <v>15000</v>
      </c>
      <c r="D1314" s="1462"/>
      <c r="E1314" s="1894">
        <v>15000</v>
      </c>
      <c r="O1314" s="1541">
        <f t="shared" si="35"/>
        <v>0</v>
      </c>
      <c r="P1314" s="1541">
        <f t="shared" si="36"/>
        <v>15000</v>
      </c>
      <c r="Q1314" s="1541">
        <f t="shared" si="37"/>
        <v>0</v>
      </c>
      <c r="R1314" s="1541">
        <f t="shared" si="38"/>
        <v>15000</v>
      </c>
    </row>
    <row r="1315" spans="1:18" x14ac:dyDescent="0.3">
      <c r="A1315" s="1461" t="s">
        <v>3485</v>
      </c>
      <c r="B1315" s="1460"/>
      <c r="C1315" s="1459">
        <v>18000</v>
      </c>
      <c r="D1315" s="1462"/>
      <c r="E1315" s="1894">
        <v>18000</v>
      </c>
      <c r="O1315" s="1541">
        <f t="shared" si="35"/>
        <v>0</v>
      </c>
      <c r="P1315" s="1541">
        <f t="shared" si="36"/>
        <v>18000</v>
      </c>
      <c r="Q1315" s="1541">
        <f t="shared" si="37"/>
        <v>0</v>
      </c>
      <c r="R1315" s="1541">
        <f t="shared" si="38"/>
        <v>18000</v>
      </c>
    </row>
    <row r="1316" spans="1:18" x14ac:dyDescent="0.3">
      <c r="A1316" s="1461" t="s">
        <v>2203</v>
      </c>
      <c r="B1316" s="1460"/>
      <c r="C1316" s="1459">
        <v>495520.32</v>
      </c>
      <c r="D1316" s="1462"/>
      <c r="E1316" s="1894">
        <v>495520.32</v>
      </c>
      <c r="H1316" s="1461" t="s">
        <v>3486</v>
      </c>
      <c r="I1316" s="1460"/>
      <c r="J1316" s="1459">
        <v>21390</v>
      </c>
      <c r="K1316" s="1462"/>
      <c r="L1316" s="1894">
        <v>21390</v>
      </c>
      <c r="O1316" s="1541">
        <f t="shared" si="35"/>
        <v>0</v>
      </c>
      <c r="P1316" s="1541">
        <f t="shared" si="36"/>
        <v>516910.32</v>
      </c>
      <c r="Q1316" s="1541">
        <f t="shared" si="37"/>
        <v>0</v>
      </c>
      <c r="R1316" s="1541">
        <f t="shared" si="38"/>
        <v>516910.32</v>
      </c>
    </row>
    <row r="1317" spans="1:18" x14ac:dyDescent="0.3">
      <c r="A1317" s="1461" t="s">
        <v>2163</v>
      </c>
      <c r="B1317" s="1460"/>
      <c r="C1317" s="1459">
        <v>431</v>
      </c>
      <c r="D1317" s="1462"/>
      <c r="E1317" s="1894">
        <v>431</v>
      </c>
      <c r="O1317" s="1541">
        <f t="shared" si="35"/>
        <v>0</v>
      </c>
      <c r="P1317" s="1541">
        <f t="shared" si="36"/>
        <v>431</v>
      </c>
      <c r="Q1317" s="1541">
        <f t="shared" si="37"/>
        <v>0</v>
      </c>
      <c r="R1317" s="1541">
        <f t="shared" si="38"/>
        <v>431</v>
      </c>
    </row>
    <row r="1318" spans="1:18" x14ac:dyDescent="0.3">
      <c r="A1318" s="1461" t="s">
        <v>3512</v>
      </c>
      <c r="B1318" s="1460"/>
      <c r="C1318" s="1459">
        <v>14307.19</v>
      </c>
      <c r="D1318" s="1462"/>
      <c r="E1318" s="1894">
        <v>14307.19</v>
      </c>
      <c r="H1318" s="1461" t="s">
        <v>3512</v>
      </c>
      <c r="I1318" s="1460"/>
      <c r="J1318" s="1459">
        <v>7000</v>
      </c>
      <c r="K1318" s="1462"/>
      <c r="L1318" s="1894">
        <v>7000</v>
      </c>
      <c r="O1318" s="1541">
        <f t="shared" si="35"/>
        <v>0</v>
      </c>
      <c r="P1318" s="1541">
        <f t="shared" si="36"/>
        <v>21307.190000000002</v>
      </c>
      <c r="Q1318" s="1541">
        <f t="shared" si="37"/>
        <v>0</v>
      </c>
      <c r="R1318" s="1541">
        <f t="shared" si="38"/>
        <v>21307.190000000002</v>
      </c>
    </row>
    <row r="1319" spans="1:18" x14ac:dyDescent="0.3">
      <c r="A1319" s="1461" t="s">
        <v>3487</v>
      </c>
      <c r="B1319" s="1460"/>
      <c r="C1319" s="1459">
        <v>3.01</v>
      </c>
      <c r="D1319" s="1459">
        <v>0.73</v>
      </c>
      <c r="E1319" s="1894">
        <v>2.2799999999999998</v>
      </c>
      <c r="O1319" s="1541">
        <f t="shared" si="35"/>
        <v>0</v>
      </c>
      <c r="P1319" s="1541">
        <f t="shared" si="36"/>
        <v>3.01</v>
      </c>
      <c r="Q1319" s="1541">
        <f t="shared" si="37"/>
        <v>0.73</v>
      </c>
      <c r="R1319" s="1541">
        <f t="shared" si="38"/>
        <v>2.2799999999999998</v>
      </c>
    </row>
    <row r="1320" spans="1:18" x14ac:dyDescent="0.3">
      <c r="A1320" s="1461" t="s">
        <v>3513</v>
      </c>
      <c r="B1320" s="1460"/>
      <c r="C1320" s="1459">
        <v>30450</v>
      </c>
      <c r="D1320" s="1462"/>
      <c r="E1320" s="1894">
        <v>30450</v>
      </c>
      <c r="O1320" s="1541">
        <f t="shared" si="35"/>
        <v>0</v>
      </c>
      <c r="P1320" s="1541">
        <f t="shared" si="36"/>
        <v>30450</v>
      </c>
      <c r="Q1320" s="1541">
        <f t="shared" si="37"/>
        <v>0</v>
      </c>
      <c r="R1320" s="1541">
        <f t="shared" si="38"/>
        <v>30450</v>
      </c>
    </row>
    <row r="1321" spans="1:18" x14ac:dyDescent="0.3">
      <c r="A1321" s="1461" t="s">
        <v>3488</v>
      </c>
      <c r="B1321" s="1460"/>
      <c r="C1321" s="1459">
        <v>1600</v>
      </c>
      <c r="D1321" s="1462"/>
      <c r="E1321" s="1894">
        <v>1600</v>
      </c>
      <c r="O1321" s="1541">
        <f t="shared" si="35"/>
        <v>0</v>
      </c>
      <c r="P1321" s="1541">
        <f t="shared" si="36"/>
        <v>1600</v>
      </c>
      <c r="Q1321" s="1541">
        <f t="shared" si="37"/>
        <v>0</v>
      </c>
      <c r="R1321" s="1541">
        <f t="shared" si="38"/>
        <v>1600</v>
      </c>
    </row>
    <row r="1322" spans="1:18" x14ac:dyDescent="0.3">
      <c r="A1322" s="1461" t="s">
        <v>2201</v>
      </c>
      <c r="B1322" s="1460"/>
      <c r="C1322" s="1459">
        <v>250000</v>
      </c>
      <c r="D1322" s="1462"/>
      <c r="E1322" s="1894">
        <v>250000</v>
      </c>
      <c r="O1322" s="1541">
        <f t="shared" si="35"/>
        <v>0</v>
      </c>
      <c r="P1322" s="1541">
        <f t="shared" si="36"/>
        <v>250000</v>
      </c>
      <c r="Q1322" s="1541">
        <f t="shared" si="37"/>
        <v>0</v>
      </c>
      <c r="R1322" s="1541">
        <f t="shared" si="38"/>
        <v>250000</v>
      </c>
    </row>
    <row r="1323" spans="1:18" x14ac:dyDescent="0.3">
      <c r="A1323" s="1461" t="s">
        <v>3489</v>
      </c>
      <c r="B1323" s="1460"/>
      <c r="C1323" s="1459">
        <v>413649.5</v>
      </c>
      <c r="D1323" s="1459">
        <v>2000</v>
      </c>
      <c r="E1323" s="1894">
        <v>411649.5</v>
      </c>
      <c r="O1323" s="1541">
        <f t="shared" si="35"/>
        <v>0</v>
      </c>
      <c r="P1323" s="1541">
        <f t="shared" si="36"/>
        <v>413649.5</v>
      </c>
      <c r="Q1323" s="1541">
        <f t="shared" si="37"/>
        <v>2000</v>
      </c>
      <c r="R1323" s="1541">
        <f t="shared" si="38"/>
        <v>411649.5</v>
      </c>
    </row>
    <row r="1324" spans="1:18" x14ac:dyDescent="0.3">
      <c r="A1324" s="1461" t="s">
        <v>3490</v>
      </c>
      <c r="B1324" s="1460"/>
      <c r="C1324" s="1459">
        <v>4046</v>
      </c>
      <c r="D1324" s="1462"/>
      <c r="E1324" s="1894">
        <v>4046</v>
      </c>
      <c r="O1324" s="1541">
        <f t="shared" si="35"/>
        <v>0</v>
      </c>
      <c r="P1324" s="1541">
        <f t="shared" si="36"/>
        <v>4046</v>
      </c>
      <c r="Q1324" s="1541">
        <f t="shared" si="37"/>
        <v>0</v>
      </c>
      <c r="R1324" s="1541">
        <f t="shared" si="38"/>
        <v>4046</v>
      </c>
    </row>
    <row r="1325" spans="1:18" x14ac:dyDescent="0.3">
      <c r="A1325" s="1461" t="s">
        <v>3491</v>
      </c>
      <c r="B1325" s="1460"/>
      <c r="C1325" s="1459">
        <v>104200</v>
      </c>
      <c r="D1325" s="1462"/>
      <c r="E1325" s="1894">
        <v>104200</v>
      </c>
      <c r="O1325" s="1541">
        <f t="shared" si="35"/>
        <v>0</v>
      </c>
      <c r="P1325" s="1541">
        <f t="shared" si="36"/>
        <v>104200</v>
      </c>
      <c r="Q1325" s="1541">
        <f t="shared" si="37"/>
        <v>0</v>
      </c>
      <c r="R1325" s="1541">
        <f t="shared" si="38"/>
        <v>104200</v>
      </c>
    </row>
    <row r="1326" spans="1:18" x14ac:dyDescent="0.3">
      <c r="A1326" s="1461" t="s">
        <v>3492</v>
      </c>
      <c r="B1326" s="1460"/>
      <c r="C1326" s="1459">
        <v>10000</v>
      </c>
      <c r="D1326" s="1462"/>
      <c r="E1326" s="1894">
        <v>10000</v>
      </c>
      <c r="O1326" s="1541">
        <f t="shared" si="35"/>
        <v>0</v>
      </c>
      <c r="P1326" s="1541">
        <f t="shared" si="36"/>
        <v>10000</v>
      </c>
      <c r="Q1326" s="1541">
        <f t="shared" si="37"/>
        <v>0</v>
      </c>
      <c r="R1326" s="1541">
        <f t="shared" si="38"/>
        <v>10000</v>
      </c>
    </row>
    <row r="1327" spans="1:18" x14ac:dyDescent="0.3">
      <c r="A1327" s="1856" t="s">
        <v>3736</v>
      </c>
      <c r="B1327" s="1460"/>
      <c r="C1327" s="1459">
        <v>10620</v>
      </c>
      <c r="D1327" s="1462"/>
      <c r="E1327" s="1894">
        <v>10620</v>
      </c>
      <c r="O1327" s="1541">
        <f t="shared" si="35"/>
        <v>0</v>
      </c>
      <c r="P1327" s="1541">
        <f t="shared" si="36"/>
        <v>10620</v>
      </c>
      <c r="Q1327" s="1541">
        <f t="shared" si="37"/>
        <v>0</v>
      </c>
      <c r="R1327" s="1541">
        <f t="shared" si="38"/>
        <v>10620</v>
      </c>
    </row>
    <row r="1328" spans="1:18" x14ac:dyDescent="0.3">
      <c r="A1328" s="1461" t="s">
        <v>3493</v>
      </c>
      <c r="B1328" s="1460"/>
      <c r="C1328" s="1459">
        <v>24127</v>
      </c>
      <c r="D1328" s="1462"/>
      <c r="E1328" s="1894">
        <v>24127</v>
      </c>
      <c r="O1328" s="1541">
        <f t="shared" si="35"/>
        <v>0</v>
      </c>
      <c r="P1328" s="1541">
        <f t="shared" si="36"/>
        <v>24127</v>
      </c>
      <c r="Q1328" s="1541">
        <f t="shared" si="37"/>
        <v>0</v>
      </c>
      <c r="R1328" s="1541">
        <f t="shared" si="38"/>
        <v>24127</v>
      </c>
    </row>
    <row r="1329" spans="1:18" x14ac:dyDescent="0.3">
      <c r="A1329" s="1461" t="s">
        <v>3494</v>
      </c>
      <c r="B1329" s="1460"/>
      <c r="C1329" s="1459">
        <v>25000</v>
      </c>
      <c r="D1329" s="1462"/>
      <c r="E1329" s="1894">
        <v>25000</v>
      </c>
      <c r="O1329" s="1541">
        <f t="shared" si="35"/>
        <v>0</v>
      </c>
      <c r="P1329" s="1541">
        <f t="shared" si="36"/>
        <v>25000</v>
      </c>
      <c r="Q1329" s="1541">
        <f t="shared" si="37"/>
        <v>0</v>
      </c>
      <c r="R1329" s="1541">
        <f t="shared" si="38"/>
        <v>25000</v>
      </c>
    </row>
    <row r="1330" spans="1:18" x14ac:dyDescent="0.3">
      <c r="A1330" s="1461" t="s">
        <v>3495</v>
      </c>
      <c r="B1330" s="1460"/>
      <c r="C1330" s="1459">
        <v>82430.899999999994</v>
      </c>
      <c r="D1330" s="1462"/>
      <c r="E1330" s="1894">
        <v>82430.899999999994</v>
      </c>
      <c r="O1330" s="1541">
        <f t="shared" si="35"/>
        <v>0</v>
      </c>
      <c r="P1330" s="1541">
        <f t="shared" si="36"/>
        <v>82430.899999999994</v>
      </c>
      <c r="Q1330" s="1541">
        <f t="shared" si="37"/>
        <v>0</v>
      </c>
      <c r="R1330" s="1541">
        <f t="shared" si="38"/>
        <v>82430.899999999994</v>
      </c>
    </row>
    <row r="1331" spans="1:18" x14ac:dyDescent="0.3">
      <c r="A1331" s="1461" t="s">
        <v>3496</v>
      </c>
      <c r="B1331" s="1460"/>
      <c r="C1331" s="1459">
        <v>9500</v>
      </c>
      <c r="D1331" s="1462"/>
      <c r="E1331" s="1894">
        <v>9500</v>
      </c>
      <c r="O1331" s="1541">
        <f t="shared" si="35"/>
        <v>0</v>
      </c>
      <c r="P1331" s="1541">
        <f t="shared" si="36"/>
        <v>9500</v>
      </c>
      <c r="Q1331" s="1541">
        <f t="shared" si="37"/>
        <v>0</v>
      </c>
      <c r="R1331" s="1541">
        <f t="shared" si="38"/>
        <v>9500</v>
      </c>
    </row>
    <row r="1332" spans="1:18" x14ac:dyDescent="0.3">
      <c r="A1332" s="1461" t="s">
        <v>3514</v>
      </c>
      <c r="B1332" s="1460"/>
      <c r="C1332" s="1459">
        <v>188730</v>
      </c>
      <c r="D1332" s="1462"/>
      <c r="E1332" s="1894">
        <v>188730</v>
      </c>
      <c r="O1332" s="1541">
        <f t="shared" si="35"/>
        <v>0</v>
      </c>
      <c r="P1332" s="1541">
        <f t="shared" si="36"/>
        <v>188730</v>
      </c>
      <c r="Q1332" s="1541">
        <f t="shared" si="37"/>
        <v>0</v>
      </c>
      <c r="R1332" s="1541">
        <f t="shared" si="38"/>
        <v>188730</v>
      </c>
    </row>
    <row r="1333" spans="1:18" x14ac:dyDescent="0.3">
      <c r="A1333" s="1461" t="s">
        <v>3515</v>
      </c>
      <c r="B1333" s="1460"/>
      <c r="C1333" s="1459">
        <v>1580</v>
      </c>
      <c r="D1333" s="1462"/>
      <c r="E1333" s="1894">
        <v>1580</v>
      </c>
      <c r="O1333" s="1541">
        <f t="shared" si="35"/>
        <v>0</v>
      </c>
      <c r="P1333" s="1541">
        <f t="shared" si="36"/>
        <v>1580</v>
      </c>
      <c r="Q1333" s="1541">
        <f t="shared" si="37"/>
        <v>0</v>
      </c>
      <c r="R1333" s="1541">
        <f t="shared" si="38"/>
        <v>1580</v>
      </c>
    </row>
    <row r="1334" spans="1:18" x14ac:dyDescent="0.3">
      <c r="A1334" s="1461" t="s">
        <v>272</v>
      </c>
      <c r="B1334" s="1460"/>
      <c r="C1334" s="1459">
        <v>8291.15</v>
      </c>
      <c r="D1334" s="1462"/>
      <c r="E1334" s="1894">
        <v>8291.15</v>
      </c>
      <c r="O1334" s="1541">
        <f t="shared" si="35"/>
        <v>0</v>
      </c>
      <c r="P1334" s="1541">
        <f t="shared" si="36"/>
        <v>8291.15</v>
      </c>
      <c r="Q1334" s="1541">
        <f t="shared" si="37"/>
        <v>0</v>
      </c>
      <c r="R1334" s="1541">
        <f t="shared" si="38"/>
        <v>8291.15</v>
      </c>
    </row>
    <row r="1335" spans="1:18" x14ac:dyDescent="0.3">
      <c r="A1335" s="1461" t="s">
        <v>2195</v>
      </c>
      <c r="B1335" s="1460"/>
      <c r="C1335" s="1459">
        <v>3425</v>
      </c>
      <c r="D1335" s="1462"/>
      <c r="E1335" s="1894">
        <v>3425</v>
      </c>
      <c r="O1335" s="1541">
        <f t="shared" si="35"/>
        <v>0</v>
      </c>
      <c r="P1335" s="1541">
        <f t="shared" si="36"/>
        <v>3425</v>
      </c>
      <c r="Q1335" s="1541">
        <f t="shared" si="37"/>
        <v>0</v>
      </c>
      <c r="R1335" s="1541">
        <f t="shared" si="38"/>
        <v>3425</v>
      </c>
    </row>
    <row r="1336" spans="1:18" x14ac:dyDescent="0.3">
      <c r="A1336" s="1461" t="s">
        <v>3497</v>
      </c>
      <c r="B1336" s="1460"/>
      <c r="C1336" s="1459">
        <v>39000</v>
      </c>
      <c r="D1336" s="1462"/>
      <c r="E1336" s="1894">
        <v>39000</v>
      </c>
      <c r="O1336" s="1541">
        <f t="shared" si="35"/>
        <v>0</v>
      </c>
      <c r="P1336" s="1541">
        <f t="shared" si="36"/>
        <v>39000</v>
      </c>
      <c r="Q1336" s="1541">
        <f t="shared" si="37"/>
        <v>0</v>
      </c>
      <c r="R1336" s="1541">
        <f t="shared" si="38"/>
        <v>39000</v>
      </c>
    </row>
    <row r="1337" spans="1:18" x14ac:dyDescent="0.3">
      <c r="A1337" s="1461" t="s">
        <v>3498</v>
      </c>
      <c r="B1337" s="1460"/>
      <c r="C1337" s="1459">
        <v>287.89999999999998</v>
      </c>
      <c r="D1337" s="1459">
        <v>210.59</v>
      </c>
      <c r="E1337" s="1894">
        <v>77.31</v>
      </c>
      <c r="O1337" s="1541">
        <f t="shared" si="35"/>
        <v>0</v>
      </c>
      <c r="P1337" s="1541">
        <f t="shared" si="36"/>
        <v>287.89999999999998</v>
      </c>
      <c r="Q1337" s="1541">
        <f t="shared" si="37"/>
        <v>210.59</v>
      </c>
      <c r="R1337" s="1541">
        <f t="shared" si="38"/>
        <v>77.31</v>
      </c>
    </row>
    <row r="1338" spans="1:18" x14ac:dyDescent="0.3">
      <c r="A1338" s="1461" t="s">
        <v>2199</v>
      </c>
      <c r="B1338" s="1460"/>
      <c r="C1338" s="1459">
        <v>1452157</v>
      </c>
      <c r="D1338" s="1459">
        <v>90000</v>
      </c>
      <c r="E1338" s="1894">
        <v>1362157</v>
      </c>
      <c r="O1338" s="1541">
        <f t="shared" si="35"/>
        <v>0</v>
      </c>
      <c r="P1338" s="1541">
        <f t="shared" si="36"/>
        <v>1452157</v>
      </c>
      <c r="Q1338" s="1541">
        <f t="shared" si="37"/>
        <v>90000</v>
      </c>
      <c r="R1338" s="1541">
        <f t="shared" si="38"/>
        <v>1362157</v>
      </c>
    </row>
    <row r="1339" spans="1:18" x14ac:dyDescent="0.3">
      <c r="A1339" s="1461" t="s">
        <v>2198</v>
      </c>
      <c r="B1339" s="1460"/>
      <c r="C1339" s="1459">
        <v>65232</v>
      </c>
      <c r="D1339" s="1462"/>
      <c r="E1339" s="1894">
        <v>65232</v>
      </c>
      <c r="O1339" s="1541">
        <f t="shared" si="35"/>
        <v>0</v>
      </c>
      <c r="P1339" s="1541">
        <f t="shared" si="36"/>
        <v>65232</v>
      </c>
      <c r="Q1339" s="1541">
        <f t="shared" si="37"/>
        <v>0</v>
      </c>
      <c r="R1339" s="1541">
        <f t="shared" si="38"/>
        <v>65232</v>
      </c>
    </row>
    <row r="1340" spans="1:18" x14ac:dyDescent="0.3">
      <c r="A1340" s="1461" t="s">
        <v>3499</v>
      </c>
      <c r="B1340" s="1460"/>
      <c r="C1340" s="1459">
        <v>13000</v>
      </c>
      <c r="D1340" s="1462"/>
      <c r="E1340" s="1894">
        <v>13000</v>
      </c>
      <c r="O1340" s="1541">
        <f t="shared" si="35"/>
        <v>0</v>
      </c>
      <c r="P1340" s="1541">
        <f t="shared" si="36"/>
        <v>13000</v>
      </c>
      <c r="Q1340" s="1541">
        <f t="shared" si="37"/>
        <v>0</v>
      </c>
      <c r="R1340" s="1541">
        <f t="shared" si="38"/>
        <v>13000</v>
      </c>
    </row>
    <row r="1341" spans="1:18" x14ac:dyDescent="0.3">
      <c r="A1341" s="1461" t="s">
        <v>3500</v>
      </c>
      <c r="B1341" s="1460"/>
      <c r="C1341" s="1459">
        <v>30000</v>
      </c>
      <c r="D1341" s="1462"/>
      <c r="E1341" s="1894">
        <v>30000</v>
      </c>
      <c r="O1341" s="1541">
        <f t="shared" si="35"/>
        <v>0</v>
      </c>
      <c r="P1341" s="1541">
        <f t="shared" si="36"/>
        <v>30000</v>
      </c>
      <c r="Q1341" s="1541">
        <f t="shared" si="37"/>
        <v>0</v>
      </c>
      <c r="R1341" s="1541">
        <f t="shared" si="38"/>
        <v>30000</v>
      </c>
    </row>
    <row r="1342" spans="1:18" x14ac:dyDescent="0.3">
      <c r="A1342" s="1461" t="s">
        <v>3501</v>
      </c>
      <c r="B1342" s="1460"/>
      <c r="C1342" s="1459">
        <v>7075</v>
      </c>
      <c r="D1342" s="1462"/>
      <c r="E1342" s="1894">
        <v>7075</v>
      </c>
      <c r="O1342" s="1541">
        <f t="shared" si="35"/>
        <v>0</v>
      </c>
      <c r="P1342" s="1541">
        <f t="shared" si="36"/>
        <v>7075</v>
      </c>
      <c r="Q1342" s="1541">
        <f t="shared" si="37"/>
        <v>0</v>
      </c>
      <c r="R1342" s="1541">
        <f t="shared" si="38"/>
        <v>7075</v>
      </c>
    </row>
    <row r="1343" spans="1:18" x14ac:dyDescent="0.3">
      <c r="A1343" s="1461" t="s">
        <v>3516</v>
      </c>
      <c r="B1343" s="1460"/>
      <c r="C1343" s="1459">
        <v>250</v>
      </c>
      <c r="D1343" s="1462"/>
      <c r="E1343" s="1894">
        <v>250</v>
      </c>
      <c r="O1343" s="1541">
        <f t="shared" si="35"/>
        <v>0</v>
      </c>
      <c r="P1343" s="1541">
        <f t="shared" si="36"/>
        <v>250</v>
      </c>
      <c r="Q1343" s="1541">
        <f t="shared" si="37"/>
        <v>0</v>
      </c>
      <c r="R1343" s="1541">
        <f t="shared" si="38"/>
        <v>250</v>
      </c>
    </row>
    <row r="1344" spans="1:18" x14ac:dyDescent="0.3">
      <c r="A1344" s="1461" t="s">
        <v>3502</v>
      </c>
      <c r="B1344" s="1460"/>
      <c r="C1344" s="1459">
        <v>35290</v>
      </c>
      <c r="D1344" s="1462"/>
      <c r="E1344" s="1894">
        <v>35290</v>
      </c>
      <c r="O1344" s="1541">
        <f t="shared" si="35"/>
        <v>0</v>
      </c>
      <c r="P1344" s="1541">
        <f t="shared" si="36"/>
        <v>35290</v>
      </c>
      <c r="Q1344" s="1541">
        <f t="shared" si="37"/>
        <v>0</v>
      </c>
      <c r="R1344" s="1541">
        <f t="shared" si="38"/>
        <v>35290</v>
      </c>
    </row>
    <row r="1345" spans="1:18" x14ac:dyDescent="0.3">
      <c r="A1345" s="1461" t="s">
        <v>2197</v>
      </c>
      <c r="B1345" s="1460"/>
      <c r="C1345" s="1459">
        <v>2282</v>
      </c>
      <c r="D1345" s="1462"/>
      <c r="E1345" s="1894">
        <v>2282</v>
      </c>
      <c r="O1345" s="1541">
        <f t="shared" si="35"/>
        <v>0</v>
      </c>
      <c r="P1345" s="1541">
        <f t="shared" si="36"/>
        <v>2282</v>
      </c>
      <c r="Q1345" s="1541">
        <f t="shared" si="37"/>
        <v>0</v>
      </c>
      <c r="R1345" s="1541">
        <f t="shared" si="38"/>
        <v>2282</v>
      </c>
    </row>
    <row r="1346" spans="1:18" x14ac:dyDescent="0.3">
      <c r="A1346" s="1856" t="s">
        <v>3503</v>
      </c>
      <c r="B1346" s="1460"/>
      <c r="C1346" s="1459">
        <v>29720</v>
      </c>
      <c r="D1346" s="1462"/>
      <c r="E1346" s="1894">
        <v>29720</v>
      </c>
      <c r="O1346" s="1541">
        <f t="shared" si="35"/>
        <v>0</v>
      </c>
      <c r="P1346" s="1541">
        <f t="shared" si="36"/>
        <v>29720</v>
      </c>
      <c r="Q1346" s="1541">
        <f t="shared" si="37"/>
        <v>0</v>
      </c>
      <c r="R1346" s="1541">
        <f t="shared" si="38"/>
        <v>29720</v>
      </c>
    </row>
    <row r="1347" spans="1:18" x14ac:dyDescent="0.3">
      <c r="A1347" s="1461" t="s">
        <v>3504</v>
      </c>
      <c r="B1347" s="1460"/>
      <c r="C1347" s="1459">
        <v>5030</v>
      </c>
      <c r="D1347" s="1462"/>
      <c r="E1347" s="1894">
        <v>5030</v>
      </c>
      <c r="O1347" s="1541">
        <f t="shared" si="35"/>
        <v>0</v>
      </c>
      <c r="P1347" s="1541">
        <f t="shared" si="36"/>
        <v>5030</v>
      </c>
      <c r="Q1347" s="1541">
        <f t="shared" si="37"/>
        <v>0</v>
      </c>
      <c r="R1347" s="1541">
        <f t="shared" si="38"/>
        <v>5030</v>
      </c>
    </row>
    <row r="1348" spans="1:18" x14ac:dyDescent="0.3">
      <c r="A1348" s="1461" t="s">
        <v>3505</v>
      </c>
      <c r="B1348" s="1460"/>
      <c r="C1348" s="1459">
        <v>2250953.73</v>
      </c>
      <c r="D1348" s="1462"/>
      <c r="E1348" s="1894">
        <v>2250953.73</v>
      </c>
      <c r="O1348" s="1541">
        <f t="shared" si="35"/>
        <v>0</v>
      </c>
      <c r="P1348" s="1541">
        <f t="shared" si="36"/>
        <v>2250953.73</v>
      </c>
      <c r="Q1348" s="1541">
        <f t="shared" si="37"/>
        <v>0</v>
      </c>
      <c r="R1348" s="1541">
        <f t="shared" si="38"/>
        <v>2250953.73</v>
      </c>
    </row>
    <row r="1349" spans="1:18" x14ac:dyDescent="0.3">
      <c r="A1349" s="1461" t="s">
        <v>3506</v>
      </c>
      <c r="B1349" s="1460"/>
      <c r="C1349" s="1459">
        <v>226104</v>
      </c>
      <c r="D1349" s="1462"/>
      <c r="E1349" s="1894">
        <v>226104</v>
      </c>
      <c r="O1349" s="1541">
        <f t="shared" si="35"/>
        <v>0</v>
      </c>
      <c r="P1349" s="1541">
        <f t="shared" si="36"/>
        <v>226104</v>
      </c>
      <c r="Q1349" s="1541">
        <f t="shared" si="37"/>
        <v>0</v>
      </c>
      <c r="R1349" s="1541">
        <f t="shared" si="38"/>
        <v>226104</v>
      </c>
    </row>
    <row r="1350" spans="1:18" x14ac:dyDescent="0.3">
      <c r="A1350" s="1461" t="s">
        <v>3507</v>
      </c>
      <c r="B1350" s="1460"/>
      <c r="C1350" s="1459">
        <v>735593.82</v>
      </c>
      <c r="D1350" s="1462"/>
      <c r="E1350" s="1894">
        <v>735593.82</v>
      </c>
      <c r="O1350" s="1541">
        <f t="shared" si="35"/>
        <v>0</v>
      </c>
      <c r="P1350" s="1541">
        <f t="shared" si="36"/>
        <v>735593.82</v>
      </c>
      <c r="Q1350" s="1541">
        <f t="shared" si="37"/>
        <v>0</v>
      </c>
      <c r="R1350" s="1541">
        <f t="shared" si="38"/>
        <v>735593.82</v>
      </c>
    </row>
    <row r="1351" spans="1:18" x14ac:dyDescent="0.3">
      <c r="A1351" s="1461" t="s">
        <v>3508</v>
      </c>
      <c r="B1351" s="1460"/>
      <c r="C1351" s="1459">
        <v>37600</v>
      </c>
      <c r="D1351" s="1462"/>
      <c r="E1351" s="1894">
        <v>37600</v>
      </c>
      <c r="O1351" s="1541">
        <f t="shared" ref="O1351:O1356" si="39">B1351+I1351</f>
        <v>0</v>
      </c>
      <c r="P1351" s="1541">
        <f t="shared" ref="P1351:P1356" si="40">C1351+J1351</f>
        <v>37600</v>
      </c>
      <c r="Q1351" s="1541">
        <f t="shared" ref="Q1351:Q1356" si="41">D1351+K1351</f>
        <v>0</v>
      </c>
      <c r="R1351" s="1541">
        <f t="shared" ref="R1351:R1356" si="42">E1351+L1351</f>
        <v>37600</v>
      </c>
    </row>
    <row r="1352" spans="1:18" x14ac:dyDescent="0.3">
      <c r="A1352" s="1461" t="s">
        <v>3509</v>
      </c>
      <c r="B1352" s="1460"/>
      <c r="C1352" s="1459">
        <v>30000</v>
      </c>
      <c r="D1352" s="1462"/>
      <c r="E1352" s="1894">
        <v>30000</v>
      </c>
      <c r="O1352" s="1541">
        <f t="shared" si="39"/>
        <v>0</v>
      </c>
      <c r="P1352" s="1541">
        <f t="shared" si="40"/>
        <v>30000</v>
      </c>
      <c r="Q1352" s="1541">
        <f t="shared" si="41"/>
        <v>0</v>
      </c>
      <c r="R1352" s="1541">
        <f t="shared" si="42"/>
        <v>30000</v>
      </c>
    </row>
    <row r="1353" spans="1:18" x14ac:dyDescent="0.3">
      <c r="A1353" s="1461" t="s">
        <v>3510</v>
      </c>
      <c r="B1353" s="1460"/>
      <c r="C1353" s="1459">
        <v>41400</v>
      </c>
      <c r="D1353" s="1462"/>
      <c r="E1353" s="1894">
        <v>41400</v>
      </c>
      <c r="O1353" s="1541">
        <f t="shared" si="39"/>
        <v>0</v>
      </c>
      <c r="P1353" s="1541">
        <f t="shared" si="40"/>
        <v>41400</v>
      </c>
      <c r="Q1353" s="1541">
        <f t="shared" si="41"/>
        <v>0</v>
      </c>
      <c r="R1353" s="1541">
        <f t="shared" si="42"/>
        <v>41400</v>
      </c>
    </row>
    <row r="1354" spans="1:18" x14ac:dyDescent="0.3">
      <c r="A1354" s="1461" t="s">
        <v>3511</v>
      </c>
      <c r="B1354" s="1460"/>
      <c r="C1354" s="1459">
        <v>55000</v>
      </c>
      <c r="D1354" s="1462"/>
      <c r="E1354" s="1894">
        <v>55000</v>
      </c>
      <c r="O1354" s="1541">
        <f t="shared" si="39"/>
        <v>0</v>
      </c>
      <c r="P1354" s="1541">
        <f t="shared" si="40"/>
        <v>55000</v>
      </c>
      <c r="Q1354" s="1541">
        <f t="shared" si="41"/>
        <v>0</v>
      </c>
      <c r="R1354" s="1541">
        <f t="shared" si="42"/>
        <v>55000</v>
      </c>
    </row>
    <row r="1355" spans="1:18" x14ac:dyDescent="0.3">
      <c r="A1355" s="1457" t="s">
        <v>2193</v>
      </c>
      <c r="B1355" s="1896">
        <v>4991228.7</v>
      </c>
      <c r="C1355" s="1456">
        <v>26566</v>
      </c>
      <c r="D1355" s="1456">
        <v>3056226</v>
      </c>
      <c r="E1355" s="1896">
        <v>1961568.7</v>
      </c>
      <c r="H1355" s="1457" t="s">
        <v>2193</v>
      </c>
      <c r="I1355" s="1471">
        <v>-2484778.85</v>
      </c>
      <c r="J1355" s="1460"/>
      <c r="K1355" s="1460"/>
      <c r="L1355" s="1471">
        <v>-2484778.85</v>
      </c>
      <c r="O1355" s="1541">
        <f t="shared" si="39"/>
        <v>2506449.85</v>
      </c>
      <c r="P1355" s="1541">
        <f t="shared" si="40"/>
        <v>26566</v>
      </c>
      <c r="Q1355" s="1541">
        <f t="shared" si="41"/>
        <v>3056226</v>
      </c>
      <c r="R1355" s="1541">
        <f t="shared" si="42"/>
        <v>-523210.15000000014</v>
      </c>
    </row>
    <row r="1356" spans="1:18" x14ac:dyDescent="0.3">
      <c r="A1356" s="1454" t="s">
        <v>2192</v>
      </c>
      <c r="B1356" s="1452"/>
      <c r="C1356" s="1453">
        <v>786481792.66999996</v>
      </c>
      <c r="D1356" s="1453">
        <v>786481792.66999996</v>
      </c>
      <c r="E1356" s="1452"/>
      <c r="H1356" s="1454" t="s">
        <v>2192</v>
      </c>
      <c r="I1356" s="1452"/>
      <c r="J1356" s="1453">
        <v>28412857</v>
      </c>
      <c r="K1356" s="1453">
        <v>28412857</v>
      </c>
      <c r="L1356" s="1452"/>
      <c r="O1356" s="1541">
        <f t="shared" si="39"/>
        <v>0</v>
      </c>
      <c r="P1356" s="1541">
        <f t="shared" si="40"/>
        <v>814894649.66999996</v>
      </c>
      <c r="Q1356" s="1541">
        <f t="shared" si="41"/>
        <v>814894649.66999996</v>
      </c>
      <c r="R1356" s="1541">
        <f t="shared" si="42"/>
        <v>0</v>
      </c>
    </row>
  </sheetData>
  <mergeCells count="16">
    <mergeCell ref="A6:C6"/>
    <mergeCell ref="A1:C1"/>
    <mergeCell ref="A2:C2"/>
    <mergeCell ref="A3:C3"/>
    <mergeCell ref="A4:C4"/>
    <mergeCell ref="A5:C5"/>
    <mergeCell ref="C10:D10"/>
    <mergeCell ref="J10:K10"/>
    <mergeCell ref="P10:Q10"/>
    <mergeCell ref="A7:C7"/>
    <mergeCell ref="B8:E8"/>
    <mergeCell ref="I8:L8"/>
    <mergeCell ref="O8:R8"/>
    <mergeCell ref="B9:E9"/>
    <mergeCell ref="I9:L9"/>
    <mergeCell ref="O9:R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8"/>
  <sheetViews>
    <sheetView view="pageBreakPreview" topLeftCell="A313" zoomScale="83" zoomScaleNormal="100" zoomScaleSheetLayoutView="83" workbookViewId="0">
      <selection activeCell="D325" sqref="D325"/>
    </sheetView>
  </sheetViews>
  <sheetFormatPr defaultColWidth="9.109375" defaultRowHeight="14.4" x14ac:dyDescent="0.3"/>
  <cols>
    <col min="1" max="1" width="0.77734375" style="2" customWidth="1"/>
    <col min="2" max="2" width="8" style="2" customWidth="1"/>
    <col min="3" max="3" width="56.5546875" style="2" customWidth="1"/>
    <col min="4" max="4" width="18.44140625" style="2" customWidth="1"/>
    <col min="5" max="5" width="17.33203125" style="2" customWidth="1"/>
    <col min="6" max="6" width="20.88671875" style="2" customWidth="1"/>
    <col min="7" max="7" width="20.33203125" style="2" customWidth="1"/>
    <col min="8" max="8" width="16.88671875" style="2" bestFit="1" customWidth="1"/>
    <col min="9" max="9" width="9.33203125" style="2" bestFit="1" customWidth="1"/>
    <col min="10" max="10" width="20.88671875" style="2" customWidth="1"/>
    <col min="11" max="16384" width="9.109375" style="2"/>
  </cols>
  <sheetData>
    <row r="1" spans="2:8" x14ac:dyDescent="0.3">
      <c r="B1" s="1738"/>
      <c r="C1" s="1738"/>
      <c r="D1" s="1738"/>
      <c r="E1" s="1738"/>
    </row>
    <row r="3" spans="2:8" s="700" customFormat="1" thickBot="1" x14ac:dyDescent="0.3">
      <c r="E3" s="1802"/>
    </row>
    <row r="4" spans="2:8" s="297" customFormat="1" ht="15.6" x14ac:dyDescent="0.3">
      <c r="B4" s="1984" t="str">
        <f>+'BS PL CFL'!B2</f>
        <v>Arunjyoti Bio Ventures Limited</v>
      </c>
      <c r="C4" s="1985"/>
      <c r="D4" s="1985"/>
      <c r="E4" s="1986"/>
      <c r="F4" s="287"/>
      <c r="G4" s="287"/>
      <c r="H4" s="287"/>
    </row>
    <row r="5" spans="2:8" s="702" customFormat="1" ht="13.8" x14ac:dyDescent="0.25">
      <c r="B5" s="1318" t="s">
        <v>389</v>
      </c>
      <c r="E5" s="1319"/>
    </row>
    <row r="6" spans="2:8" s="702" customFormat="1" ht="13.8" x14ac:dyDescent="0.25">
      <c r="B6" s="1318" t="s">
        <v>2300</v>
      </c>
      <c r="E6" s="1319"/>
    </row>
    <row r="7" spans="2:8" s="700" customFormat="1" ht="27.6" x14ac:dyDescent="0.25">
      <c r="B7" s="1320" t="s">
        <v>1975</v>
      </c>
      <c r="C7" s="1058" t="s">
        <v>215</v>
      </c>
      <c r="D7" s="852" t="str">
        <f>'BS PL CFL'!E175</f>
        <v>As at Mar 31, 2023</v>
      </c>
      <c r="E7" s="1336" t="s">
        <v>2370</v>
      </c>
      <c r="F7" s="1698"/>
      <c r="G7" s="1698"/>
    </row>
    <row r="8" spans="2:8" s="700" customFormat="1" ht="13.8" x14ac:dyDescent="0.25">
      <c r="B8" s="1321"/>
      <c r="C8" s="1059" t="s">
        <v>1752</v>
      </c>
      <c r="D8" s="1060"/>
      <c r="E8" s="1326"/>
      <c r="F8" s="1064"/>
      <c r="G8" s="1064"/>
    </row>
    <row r="9" spans="2:8" s="700" customFormat="1" ht="13.8" x14ac:dyDescent="0.25">
      <c r="B9" s="1322">
        <v>1</v>
      </c>
      <c r="C9" s="710" t="s">
        <v>1590</v>
      </c>
      <c r="D9" s="1195">
        <v>0</v>
      </c>
      <c r="E9" s="1329">
        <v>0</v>
      </c>
      <c r="F9" s="1699"/>
      <c r="G9" s="1699"/>
    </row>
    <row r="10" spans="2:8" s="700" customFormat="1" ht="13.8" x14ac:dyDescent="0.25">
      <c r="B10" s="1322">
        <v>2</v>
      </c>
      <c r="C10" s="1062" t="s">
        <v>1591</v>
      </c>
      <c r="D10" s="1195">
        <v>0</v>
      </c>
      <c r="E10" s="1329">
        <v>0</v>
      </c>
      <c r="F10" s="1699"/>
      <c r="G10" s="1699"/>
    </row>
    <row r="11" spans="2:8" s="700" customFormat="1" ht="13.8" x14ac:dyDescent="0.25">
      <c r="B11" s="1322">
        <v>3</v>
      </c>
      <c r="C11" s="1063" t="s">
        <v>1573</v>
      </c>
      <c r="D11" s="1195">
        <v>0</v>
      </c>
      <c r="E11" s="1329">
        <v>0</v>
      </c>
      <c r="F11" s="1699"/>
      <c r="G11" s="1699"/>
    </row>
    <row r="12" spans="2:8" s="700" customFormat="1" ht="13.8" x14ac:dyDescent="0.25">
      <c r="B12" s="1322">
        <v>4</v>
      </c>
      <c r="C12" s="1063" t="s">
        <v>1572</v>
      </c>
      <c r="D12" s="1195">
        <v>0</v>
      </c>
      <c r="E12" s="1329">
        <v>0</v>
      </c>
      <c r="F12" s="1699"/>
      <c r="G12" s="1699"/>
    </row>
    <row r="13" spans="2:8" s="700" customFormat="1" ht="13.8" x14ac:dyDescent="0.25">
      <c r="B13" s="1322">
        <v>5</v>
      </c>
      <c r="C13" s="1063" t="s">
        <v>1571</v>
      </c>
      <c r="D13" s="1195">
        <v>0</v>
      </c>
      <c r="E13" s="1329">
        <v>0</v>
      </c>
      <c r="F13" s="1699"/>
      <c r="G13" s="1699"/>
    </row>
    <row r="14" spans="2:8" s="702" customFormat="1" thickBot="1" x14ac:dyDescent="0.3">
      <c r="B14" s="1323"/>
      <c r="C14" s="1064" t="s">
        <v>213</v>
      </c>
      <c r="D14" s="1196">
        <f>SUM(D9:D13)</f>
        <v>0</v>
      </c>
      <c r="E14" s="1337">
        <v>0</v>
      </c>
      <c r="F14" s="1700"/>
      <c r="G14" s="1700"/>
    </row>
    <row r="15" spans="2:8" s="702" customFormat="1" thickTop="1" x14ac:dyDescent="0.25">
      <c r="B15" s="1321"/>
      <c r="C15" s="1059" t="s">
        <v>450</v>
      </c>
      <c r="D15" s="1197"/>
      <c r="E15" s="1340"/>
      <c r="F15" s="1701"/>
      <c r="G15" s="1701"/>
    </row>
    <row r="16" spans="2:8" s="702" customFormat="1" ht="13.8" x14ac:dyDescent="0.25">
      <c r="B16" s="1322">
        <v>1</v>
      </c>
      <c r="C16" s="710" t="s">
        <v>1590</v>
      </c>
      <c r="D16" s="1195">
        <v>0</v>
      </c>
      <c r="E16" s="1329">
        <v>0</v>
      </c>
      <c r="F16" s="1699"/>
      <c r="G16" s="1699"/>
    </row>
    <row r="17" spans="2:7" s="702" customFormat="1" ht="13.8" x14ac:dyDescent="0.25">
      <c r="B17" s="1322">
        <v>2</v>
      </c>
      <c r="C17" s="1062" t="s">
        <v>1591</v>
      </c>
      <c r="D17" s="1195">
        <v>0</v>
      </c>
      <c r="E17" s="1329">
        <v>0</v>
      </c>
      <c r="F17" s="1699"/>
      <c r="G17" s="1699"/>
    </row>
    <row r="18" spans="2:7" s="702" customFormat="1" ht="13.8" x14ac:dyDescent="0.25">
      <c r="B18" s="1322">
        <v>3</v>
      </c>
      <c r="C18" s="1063" t="s">
        <v>1573</v>
      </c>
      <c r="D18" s="1195">
        <v>0</v>
      </c>
      <c r="E18" s="1329">
        <v>0</v>
      </c>
      <c r="F18" s="1699"/>
      <c r="G18" s="1699"/>
    </row>
    <row r="19" spans="2:7" s="702" customFormat="1" ht="13.8" x14ac:dyDescent="0.25">
      <c r="B19" s="1322">
        <v>4</v>
      </c>
      <c r="C19" s="1063" t="s">
        <v>1572</v>
      </c>
      <c r="D19" s="1195">
        <v>0</v>
      </c>
      <c r="E19" s="1329">
        <v>0</v>
      </c>
      <c r="F19" s="1699"/>
      <c r="G19" s="1699"/>
    </row>
    <row r="20" spans="2:7" s="702" customFormat="1" ht="13.8" x14ac:dyDescent="0.25">
      <c r="B20" s="1322">
        <v>5</v>
      </c>
      <c r="C20" s="1063" t="s">
        <v>1571</v>
      </c>
      <c r="D20" s="1195">
        <v>0</v>
      </c>
      <c r="E20" s="1329">
        <v>0</v>
      </c>
      <c r="F20" s="1699"/>
      <c r="G20" s="1699"/>
    </row>
    <row r="21" spans="2:7" s="702" customFormat="1" thickBot="1" x14ac:dyDescent="0.3">
      <c r="B21" s="1324"/>
      <c r="C21" s="1064" t="s">
        <v>213</v>
      </c>
      <c r="D21" s="1196">
        <f>SUM(D16:D20)</f>
        <v>0</v>
      </c>
      <c r="E21" s="1337">
        <v>0</v>
      </c>
      <c r="F21" s="1700"/>
      <c r="G21" s="1700"/>
    </row>
    <row r="22" spans="2:7" s="700" customFormat="1" thickTop="1" x14ac:dyDescent="0.25">
      <c r="B22" s="1318" t="s">
        <v>2301</v>
      </c>
      <c r="C22" s="702"/>
      <c r="D22" s="702"/>
      <c r="E22" s="1319"/>
      <c r="F22" s="1325"/>
      <c r="G22" s="1325"/>
    </row>
    <row r="23" spans="2:7" s="700" customFormat="1" ht="27.6" x14ac:dyDescent="0.25">
      <c r="B23" s="1320" t="s">
        <v>1975</v>
      </c>
      <c r="C23" s="1058" t="s">
        <v>215</v>
      </c>
      <c r="D23" s="852" t="str">
        <f>D7</f>
        <v>As at Mar 31, 2023</v>
      </c>
      <c r="E23" s="1336" t="s">
        <v>2370</v>
      </c>
      <c r="F23" s="1698"/>
      <c r="G23" s="1698"/>
    </row>
    <row r="24" spans="2:7" s="700" customFormat="1" ht="13.8" x14ac:dyDescent="0.25">
      <c r="B24" s="1321"/>
      <c r="C24" s="1065" t="s">
        <v>1752</v>
      </c>
      <c r="D24" s="1060"/>
      <c r="E24" s="1326"/>
      <c r="F24" s="1064"/>
      <c r="G24" s="1064"/>
    </row>
    <row r="25" spans="2:7" s="700" customFormat="1" ht="13.8" x14ac:dyDescent="0.25">
      <c r="B25" s="1323" t="s">
        <v>1976</v>
      </c>
      <c r="C25" s="1066" t="s">
        <v>1596</v>
      </c>
      <c r="D25" s="1061"/>
      <c r="E25" s="1327"/>
    </row>
    <row r="26" spans="2:7" s="700" customFormat="1" ht="13.8" x14ac:dyDescent="0.25">
      <c r="B26" s="1328"/>
      <c r="C26" s="1067" t="s">
        <v>1581</v>
      </c>
      <c r="D26" s="1195">
        <v>0</v>
      </c>
      <c r="E26" s="1329">
        <v>0</v>
      </c>
      <c r="F26" s="1699"/>
      <c r="G26" s="1699"/>
    </row>
    <row r="27" spans="2:7" s="700" customFormat="1" ht="13.8" x14ac:dyDescent="0.25">
      <c r="B27" s="1328"/>
      <c r="C27" s="1067" t="s">
        <v>1582</v>
      </c>
      <c r="D27" s="1195">
        <v>0</v>
      </c>
      <c r="E27" s="1329">
        <v>0</v>
      </c>
      <c r="F27" s="1699"/>
      <c r="G27" s="1699"/>
    </row>
    <row r="28" spans="2:7" s="700" customFormat="1" ht="13.8" x14ac:dyDescent="0.25">
      <c r="B28" s="1323" t="s">
        <v>1977</v>
      </c>
      <c r="C28" s="1066" t="s">
        <v>1595</v>
      </c>
      <c r="D28" s="1195"/>
      <c r="E28" s="1329"/>
      <c r="F28" s="1699"/>
      <c r="G28" s="1699"/>
    </row>
    <row r="29" spans="2:7" s="700" customFormat="1" ht="13.8" x14ac:dyDescent="0.25">
      <c r="B29" s="1328"/>
      <c r="C29" s="1067" t="s">
        <v>1581</v>
      </c>
      <c r="D29" s="1195">
        <v>0</v>
      </c>
      <c r="E29" s="1329">
        <v>0</v>
      </c>
      <c r="F29" s="1699"/>
      <c r="G29" s="1699"/>
    </row>
    <row r="30" spans="2:7" s="700" customFormat="1" ht="13.8" x14ac:dyDescent="0.25">
      <c r="B30" s="1328"/>
      <c r="C30" s="1067" t="s">
        <v>1582</v>
      </c>
      <c r="D30" s="1195">
        <v>0</v>
      </c>
      <c r="E30" s="1329">
        <v>0</v>
      </c>
      <c r="F30" s="1699"/>
      <c r="G30" s="1699"/>
    </row>
    <row r="31" spans="2:7" s="700" customFormat="1" ht="13.8" x14ac:dyDescent="0.25">
      <c r="B31" s="1323" t="s">
        <v>1978</v>
      </c>
      <c r="C31" s="1066" t="s">
        <v>1594</v>
      </c>
      <c r="D31" s="1195"/>
      <c r="E31" s="1329"/>
      <c r="F31" s="1699"/>
      <c r="G31" s="1699"/>
    </row>
    <row r="32" spans="2:7" s="700" customFormat="1" ht="13.8" x14ac:dyDescent="0.25">
      <c r="B32" s="1328"/>
      <c r="C32" s="1067" t="s">
        <v>1581</v>
      </c>
      <c r="D32" s="1195">
        <v>0</v>
      </c>
      <c r="E32" s="1329">
        <v>0</v>
      </c>
      <c r="F32" s="1699"/>
      <c r="G32" s="1699"/>
    </row>
    <row r="33" spans="2:7" s="700" customFormat="1" ht="13.8" x14ac:dyDescent="0.25">
      <c r="B33" s="1328"/>
      <c r="C33" s="1067" t="s">
        <v>1582</v>
      </c>
      <c r="D33" s="1195">
        <v>0</v>
      </c>
      <c r="E33" s="1329">
        <v>0</v>
      </c>
      <c r="F33" s="1699"/>
      <c r="G33" s="1699"/>
    </row>
    <row r="34" spans="2:7" s="700" customFormat="1" ht="13.8" x14ac:dyDescent="0.25">
      <c r="B34" s="1328"/>
      <c r="C34" s="1063" t="s">
        <v>1583</v>
      </c>
      <c r="D34" s="1198">
        <v>0</v>
      </c>
      <c r="E34" s="1330">
        <v>0</v>
      </c>
      <c r="F34" s="1699"/>
      <c r="G34" s="1699"/>
    </row>
    <row r="35" spans="2:7" s="702" customFormat="1" thickBot="1" x14ac:dyDescent="0.3">
      <c r="B35" s="1324"/>
      <c r="C35" s="1064" t="s">
        <v>213</v>
      </c>
      <c r="D35" s="1071">
        <f>SUM(D25:D34)</f>
        <v>0</v>
      </c>
      <c r="E35" s="1331">
        <v>0</v>
      </c>
      <c r="F35" s="1702"/>
      <c r="G35" s="1702"/>
    </row>
    <row r="36" spans="2:7" s="700" customFormat="1" thickTop="1" x14ac:dyDescent="0.25">
      <c r="B36" s="1321"/>
      <c r="C36" s="1065" t="s">
        <v>2007</v>
      </c>
      <c r="D36" s="1060"/>
      <c r="E36" s="1326"/>
      <c r="F36" s="1064"/>
      <c r="G36" s="1064"/>
    </row>
    <row r="37" spans="2:7" s="700" customFormat="1" ht="13.8" x14ac:dyDescent="0.25">
      <c r="B37" s="1323" t="s">
        <v>1976</v>
      </c>
      <c r="C37" s="1066" t="s">
        <v>1596</v>
      </c>
      <c r="D37" s="1061"/>
      <c r="E37" s="1327"/>
    </row>
    <row r="38" spans="2:7" s="700" customFormat="1" ht="13.8" x14ac:dyDescent="0.25">
      <c r="B38" s="1328"/>
      <c r="C38" s="1067" t="s">
        <v>1581</v>
      </c>
      <c r="D38" s="1068">
        <v>0</v>
      </c>
      <c r="E38" s="1332">
        <v>0</v>
      </c>
      <c r="F38" s="1703"/>
      <c r="G38" s="1703"/>
    </row>
    <row r="39" spans="2:7" s="700" customFormat="1" ht="13.8" x14ac:dyDescent="0.25">
      <c r="B39" s="1328"/>
      <c r="C39" s="1067" t="s">
        <v>1582</v>
      </c>
      <c r="D39" s="1068">
        <v>0</v>
      </c>
      <c r="E39" s="1332">
        <v>0</v>
      </c>
      <c r="F39" s="1703"/>
      <c r="G39" s="1703"/>
    </row>
    <row r="40" spans="2:7" s="700" customFormat="1" ht="13.8" x14ac:dyDescent="0.25">
      <c r="B40" s="1323" t="s">
        <v>1977</v>
      </c>
      <c r="C40" s="1066" t="s">
        <v>1595</v>
      </c>
      <c r="D40" s="1068"/>
      <c r="E40" s="1332"/>
      <c r="F40" s="1703"/>
      <c r="G40" s="1703"/>
    </row>
    <row r="41" spans="2:7" s="700" customFormat="1" ht="13.8" x14ac:dyDescent="0.25">
      <c r="B41" s="1328"/>
      <c r="C41" s="1067" t="s">
        <v>1581</v>
      </c>
      <c r="D41" s="1068">
        <v>0</v>
      </c>
      <c r="E41" s="1332">
        <v>0</v>
      </c>
      <c r="F41" s="1703"/>
      <c r="G41" s="1703"/>
    </row>
    <row r="42" spans="2:7" s="700" customFormat="1" ht="13.8" x14ac:dyDescent="0.25">
      <c r="B42" s="1328"/>
      <c r="C42" s="1067" t="s">
        <v>1582</v>
      </c>
      <c r="D42" s="756">
        <f>'Sundry Debtors'!M965</f>
        <v>7827895.139999995</v>
      </c>
      <c r="E42" s="1353">
        <v>5391456.3099999996</v>
      </c>
      <c r="F42" s="1703"/>
      <c r="G42" s="1703"/>
    </row>
    <row r="43" spans="2:7" s="700" customFormat="1" ht="13.8" x14ac:dyDescent="0.25">
      <c r="B43" s="1323" t="s">
        <v>1978</v>
      </c>
      <c r="C43" s="1066" t="s">
        <v>1594</v>
      </c>
      <c r="D43" s="1068"/>
      <c r="E43" s="1332"/>
      <c r="F43" s="1703"/>
      <c r="G43" s="1703"/>
    </row>
    <row r="44" spans="2:7" s="700" customFormat="1" ht="13.8" x14ac:dyDescent="0.25">
      <c r="B44" s="1328"/>
      <c r="C44" s="1067" t="s">
        <v>1581</v>
      </c>
      <c r="D44" s="1068">
        <v>0</v>
      </c>
      <c r="E44" s="1332">
        <v>0</v>
      </c>
      <c r="F44" s="1703"/>
      <c r="G44" s="1703"/>
    </row>
    <row r="45" spans="2:7" s="700" customFormat="1" ht="13.8" x14ac:dyDescent="0.25">
      <c r="B45" s="1328"/>
      <c r="C45" s="1067" t="s">
        <v>1582</v>
      </c>
      <c r="D45" s="1068">
        <v>0</v>
      </c>
      <c r="E45" s="1332">
        <v>0</v>
      </c>
      <c r="F45" s="1703"/>
      <c r="G45" s="1703"/>
    </row>
    <row r="46" spans="2:7" s="700" customFormat="1" ht="13.8" x14ac:dyDescent="0.25">
      <c r="B46" s="1328"/>
      <c r="C46" s="1063" t="s">
        <v>1583</v>
      </c>
      <c r="D46" s="1070">
        <v>0</v>
      </c>
      <c r="E46" s="1333">
        <v>0</v>
      </c>
      <c r="F46" s="1703"/>
      <c r="G46" s="1703"/>
    </row>
    <row r="47" spans="2:7" s="702" customFormat="1" thickBot="1" x14ac:dyDescent="0.3">
      <c r="B47" s="1334"/>
      <c r="C47" s="1072" t="s">
        <v>213</v>
      </c>
      <c r="D47" s="1812">
        <f>SUM(D37:D46)</f>
        <v>7827895.139999995</v>
      </c>
      <c r="E47" s="1331">
        <v>5391456.3099999996</v>
      </c>
      <c r="F47" s="1702"/>
      <c r="G47" s="1702"/>
    </row>
    <row r="48" spans="2:7" s="700" customFormat="1" thickTop="1" x14ac:dyDescent="0.25">
      <c r="B48" s="1318" t="s">
        <v>2302</v>
      </c>
      <c r="C48" s="702"/>
      <c r="D48" s="702"/>
      <c r="E48" s="1319"/>
    </row>
    <row r="49" spans="2:8" s="700" customFormat="1" ht="33" customHeight="1" x14ac:dyDescent="0.25">
      <c r="B49" s="1320" t="s">
        <v>1975</v>
      </c>
      <c r="C49" s="1058" t="s">
        <v>215</v>
      </c>
      <c r="D49" s="852" t="str">
        <f>D23</f>
        <v>As at Mar 31, 2023</v>
      </c>
      <c r="E49" s="1336" t="s">
        <v>2370</v>
      </c>
      <c r="F49" s="1698"/>
      <c r="G49" s="1698"/>
    </row>
    <row r="50" spans="2:8" s="700" customFormat="1" ht="13.8" x14ac:dyDescent="0.25">
      <c r="B50" s="1321"/>
      <c r="C50" s="1065" t="s">
        <v>2008</v>
      </c>
      <c r="D50" s="1060"/>
      <c r="E50" s="1326"/>
      <c r="F50" s="1064"/>
      <c r="G50" s="1064"/>
    </row>
    <row r="51" spans="2:8" s="700" customFormat="1" ht="13.8" x14ac:dyDescent="0.25">
      <c r="B51" s="1323" t="s">
        <v>1976</v>
      </c>
      <c r="C51" s="1073" t="s">
        <v>1593</v>
      </c>
      <c r="D51" s="1061"/>
      <c r="E51" s="1327"/>
    </row>
    <row r="52" spans="2:8" s="700" customFormat="1" ht="13.8" x14ac:dyDescent="0.25">
      <c r="B52" s="1322">
        <v>1</v>
      </c>
      <c r="C52" s="710" t="s">
        <v>1587</v>
      </c>
      <c r="D52" s="1195">
        <v>0</v>
      </c>
      <c r="E52" s="1329">
        <v>0</v>
      </c>
      <c r="F52" s="1699"/>
      <c r="G52" s="1699"/>
    </row>
    <row r="53" spans="2:8" s="700" customFormat="1" ht="13.8" x14ac:dyDescent="0.25">
      <c r="B53" s="1322">
        <v>2</v>
      </c>
      <c r="C53" s="710" t="s">
        <v>1588</v>
      </c>
      <c r="D53" s="1195">
        <v>0</v>
      </c>
      <c r="E53" s="1329">
        <v>0</v>
      </c>
      <c r="F53" s="1699"/>
      <c r="G53" s="1699"/>
    </row>
    <row r="54" spans="2:8" s="700" customFormat="1" ht="13.8" x14ac:dyDescent="0.25">
      <c r="B54" s="1322">
        <v>3</v>
      </c>
      <c r="C54" s="710" t="s">
        <v>1589</v>
      </c>
      <c r="D54" s="1195">
        <v>0</v>
      </c>
      <c r="E54" s="1329">
        <v>0</v>
      </c>
      <c r="F54" s="1699"/>
      <c r="G54" s="1699"/>
    </row>
    <row r="55" spans="2:8" s="700" customFormat="1" ht="13.8" x14ac:dyDescent="0.25">
      <c r="B55" s="1322">
        <v>4</v>
      </c>
      <c r="C55" s="710" t="s">
        <v>1592</v>
      </c>
      <c r="D55" s="756">
        <f>'Trial Balance'!E293</f>
        <v>104626.64</v>
      </c>
      <c r="E55" s="1353">
        <v>104626.64</v>
      </c>
      <c r="F55" s="1699"/>
      <c r="G55" s="1699"/>
      <c r="H55" s="1186"/>
    </row>
    <row r="56" spans="2:8" s="700" customFormat="1" ht="13.8" x14ac:dyDescent="0.25">
      <c r="B56" s="1322">
        <v>5</v>
      </c>
      <c r="C56" s="1074" t="s">
        <v>1598</v>
      </c>
      <c r="D56" s="1195"/>
      <c r="E56" s="1329"/>
      <c r="F56" s="1699"/>
      <c r="G56" s="1699"/>
    </row>
    <row r="57" spans="2:8" s="702" customFormat="1" thickBot="1" x14ac:dyDescent="0.3">
      <c r="B57" s="1322"/>
      <c r="C57" s="1072" t="s">
        <v>1599</v>
      </c>
      <c r="D57" s="1812">
        <f>SUM(D51:D56)</f>
        <v>104626.64</v>
      </c>
      <c r="E57" s="1331">
        <v>104626.64</v>
      </c>
      <c r="F57" s="1700"/>
      <c r="G57" s="1700"/>
    </row>
    <row r="58" spans="2:8" s="700" customFormat="1" thickTop="1" x14ac:dyDescent="0.25">
      <c r="B58" s="1322"/>
      <c r="C58" s="1075" t="s">
        <v>1600</v>
      </c>
      <c r="D58" s="1195"/>
      <c r="E58" s="1329"/>
      <c r="F58" s="1699"/>
      <c r="G58" s="1699"/>
    </row>
    <row r="59" spans="2:8" s="700" customFormat="1" ht="13.8" x14ac:dyDescent="0.25">
      <c r="B59" s="1322">
        <v>1</v>
      </c>
      <c r="C59" s="1074" t="s">
        <v>2409</v>
      </c>
      <c r="D59" s="1195">
        <v>0</v>
      </c>
      <c r="E59" s="1329">
        <v>0</v>
      </c>
      <c r="F59" s="1699"/>
      <c r="G59" s="1699"/>
    </row>
    <row r="60" spans="2:8" s="700" customFormat="1" ht="13.8" x14ac:dyDescent="0.25">
      <c r="B60" s="1322">
        <v>2</v>
      </c>
      <c r="C60" s="1074" t="s">
        <v>1602</v>
      </c>
      <c r="D60" s="1195">
        <v>0</v>
      </c>
      <c r="E60" s="1329">
        <v>0</v>
      </c>
      <c r="F60" s="1699"/>
      <c r="G60" s="1699"/>
    </row>
    <row r="61" spans="2:8" s="700" customFormat="1" ht="13.8" x14ac:dyDescent="0.25">
      <c r="B61" s="1322">
        <v>3</v>
      </c>
      <c r="C61" s="710" t="s">
        <v>1587</v>
      </c>
      <c r="D61" s="1195">
        <v>0</v>
      </c>
      <c r="E61" s="1329">
        <v>0</v>
      </c>
      <c r="F61" s="1699"/>
      <c r="G61" s="1699"/>
    </row>
    <row r="62" spans="2:8" s="700" customFormat="1" ht="13.8" x14ac:dyDescent="0.25">
      <c r="B62" s="1322">
        <v>4</v>
      </c>
      <c r="C62" s="710" t="s">
        <v>1588</v>
      </c>
      <c r="D62" s="1195">
        <v>0</v>
      </c>
      <c r="E62" s="1329">
        <v>0</v>
      </c>
      <c r="F62" s="1699"/>
      <c r="G62" s="1699"/>
    </row>
    <row r="63" spans="2:8" s="700" customFormat="1" ht="13.8" x14ac:dyDescent="0.25">
      <c r="B63" s="1322">
        <v>5</v>
      </c>
      <c r="C63" s="710" t="s">
        <v>1589</v>
      </c>
      <c r="D63" s="1195">
        <v>0</v>
      </c>
      <c r="E63" s="1329">
        <v>0</v>
      </c>
      <c r="F63" s="1699"/>
      <c r="G63" s="1699"/>
    </row>
    <row r="64" spans="2:8" s="700" customFormat="1" ht="13.8" x14ac:dyDescent="0.25">
      <c r="B64" s="1338"/>
      <c r="C64" s="1076"/>
      <c r="D64" s="1198"/>
      <c r="E64" s="1330"/>
      <c r="F64" s="1699"/>
      <c r="G64" s="1699"/>
    </row>
    <row r="65" spans="2:7" s="702" customFormat="1" thickBot="1" x14ac:dyDescent="0.3">
      <c r="B65" s="1339"/>
      <c r="C65" s="1078" t="s">
        <v>213</v>
      </c>
      <c r="D65" s="1071">
        <f>+D57</f>
        <v>104626.64</v>
      </c>
      <c r="E65" s="1331">
        <v>104626.64</v>
      </c>
      <c r="F65" s="1700"/>
      <c r="G65" s="1700"/>
    </row>
    <row r="66" spans="2:7" s="700" customFormat="1" thickTop="1" x14ac:dyDescent="0.25">
      <c r="B66" s="1321"/>
      <c r="C66" s="1065" t="s">
        <v>2007</v>
      </c>
      <c r="D66" s="1197"/>
      <c r="E66" s="1340"/>
      <c r="F66" s="1701"/>
      <c r="G66" s="1701"/>
    </row>
    <row r="67" spans="2:7" s="700" customFormat="1" ht="13.8" x14ac:dyDescent="0.25">
      <c r="B67" s="1322" t="s">
        <v>1976</v>
      </c>
      <c r="C67" s="1073" t="s">
        <v>1593</v>
      </c>
      <c r="D67" s="1195"/>
      <c r="E67" s="1329"/>
      <c r="F67" s="1699"/>
      <c r="G67" s="1699"/>
    </row>
    <row r="68" spans="2:7" s="700" customFormat="1" ht="13.8" x14ac:dyDescent="0.25">
      <c r="B68" s="1322">
        <v>1</v>
      </c>
      <c r="C68" s="710" t="s">
        <v>1587</v>
      </c>
      <c r="D68" s="1195">
        <v>0</v>
      </c>
      <c r="E68" s="1329">
        <v>0</v>
      </c>
      <c r="F68" s="1699"/>
      <c r="G68" s="1699"/>
    </row>
    <row r="69" spans="2:7" s="700" customFormat="1" ht="13.8" x14ac:dyDescent="0.25">
      <c r="B69" s="1322">
        <v>2</v>
      </c>
      <c r="C69" s="710" t="s">
        <v>1588</v>
      </c>
      <c r="D69" s="1195">
        <v>0</v>
      </c>
      <c r="E69" s="1329">
        <v>0</v>
      </c>
      <c r="F69" s="1699"/>
      <c r="G69" s="1699"/>
    </row>
    <row r="70" spans="2:7" s="700" customFormat="1" ht="13.8" x14ac:dyDescent="0.25">
      <c r="B70" s="1322">
        <v>3</v>
      </c>
      <c r="C70" s="710" t="s">
        <v>1589</v>
      </c>
      <c r="D70" s="1195">
        <v>0</v>
      </c>
      <c r="E70" s="1329">
        <v>0</v>
      </c>
      <c r="F70" s="1699"/>
      <c r="G70" s="1699"/>
    </row>
    <row r="71" spans="2:7" s="700" customFormat="1" ht="13.8" x14ac:dyDescent="0.25">
      <c r="B71" s="1322">
        <v>4</v>
      </c>
      <c r="C71" s="710" t="s">
        <v>1592</v>
      </c>
      <c r="D71" s="1195">
        <v>0</v>
      </c>
      <c r="E71" s="1329">
        <v>0</v>
      </c>
      <c r="F71" s="1699"/>
      <c r="G71" s="1699"/>
    </row>
    <row r="72" spans="2:7" s="700" customFormat="1" ht="13.8" x14ac:dyDescent="0.25">
      <c r="B72" s="1322">
        <v>5</v>
      </c>
      <c r="C72" s="1074" t="s">
        <v>1598</v>
      </c>
      <c r="D72" s="1195">
        <v>0</v>
      </c>
      <c r="E72" s="1329">
        <v>0</v>
      </c>
      <c r="F72" s="1699"/>
      <c r="G72" s="1699"/>
    </row>
    <row r="73" spans="2:7" s="702" customFormat="1" thickBot="1" x14ac:dyDescent="0.3">
      <c r="B73" s="1322"/>
      <c r="C73" s="1072" t="s">
        <v>2009</v>
      </c>
      <c r="D73" s="1196">
        <f>SUM(D67:D72)</f>
        <v>0</v>
      </c>
      <c r="E73" s="1337">
        <v>0</v>
      </c>
      <c r="F73" s="1700"/>
      <c r="G73" s="1700"/>
    </row>
    <row r="74" spans="2:7" s="700" customFormat="1" thickTop="1" x14ac:dyDescent="0.25">
      <c r="B74" s="1322"/>
      <c r="C74" s="1075" t="s">
        <v>1600</v>
      </c>
      <c r="D74" s="1195"/>
      <c r="E74" s="1329"/>
      <c r="F74" s="1699"/>
      <c r="G74" s="1699"/>
    </row>
    <row r="75" spans="2:7" s="700" customFormat="1" ht="13.8" x14ac:dyDescent="0.25">
      <c r="B75" s="1322">
        <v>1</v>
      </c>
      <c r="C75" s="1074" t="s">
        <v>2409</v>
      </c>
      <c r="D75" s="1195">
        <v>0</v>
      </c>
      <c r="E75" s="1329">
        <v>0</v>
      </c>
      <c r="F75" s="1699"/>
      <c r="G75" s="1699"/>
    </row>
    <row r="76" spans="2:7" s="700" customFormat="1" ht="13.8" x14ac:dyDescent="0.25">
      <c r="B76" s="1322">
        <v>2</v>
      </c>
      <c r="C76" s="1074" t="s">
        <v>1602</v>
      </c>
      <c r="D76" s="1195">
        <v>0</v>
      </c>
      <c r="E76" s="1329">
        <v>0</v>
      </c>
      <c r="F76" s="1699"/>
      <c r="G76" s="1699"/>
    </row>
    <row r="77" spans="2:7" s="700" customFormat="1" ht="13.8" x14ac:dyDescent="0.25">
      <c r="B77" s="1322">
        <v>3</v>
      </c>
      <c r="C77" s="710" t="s">
        <v>1587</v>
      </c>
      <c r="D77" s="1195">
        <v>0</v>
      </c>
      <c r="E77" s="1329">
        <v>0</v>
      </c>
      <c r="F77" s="1699"/>
      <c r="G77" s="1699"/>
    </row>
    <row r="78" spans="2:7" s="700" customFormat="1" ht="13.8" x14ac:dyDescent="0.25">
      <c r="B78" s="1322">
        <v>4</v>
      </c>
      <c r="C78" s="710" t="s">
        <v>1588</v>
      </c>
      <c r="D78" s="1195">
        <v>0</v>
      </c>
      <c r="E78" s="1329">
        <v>0</v>
      </c>
      <c r="F78" s="1699"/>
      <c r="G78" s="1699"/>
    </row>
    <row r="79" spans="2:7" s="700" customFormat="1" ht="13.8" x14ac:dyDescent="0.25">
      <c r="B79" s="1322">
        <v>5</v>
      </c>
      <c r="C79" s="710" t="s">
        <v>1589</v>
      </c>
      <c r="D79" s="1195">
        <v>0</v>
      </c>
      <c r="E79" s="1329">
        <v>0</v>
      </c>
      <c r="F79" s="1699"/>
      <c r="G79" s="1699"/>
    </row>
    <row r="80" spans="2:7" s="700" customFormat="1" ht="13.8" x14ac:dyDescent="0.25">
      <c r="B80" s="1341"/>
      <c r="C80" s="1076"/>
      <c r="D80" s="1069"/>
      <c r="E80" s="1342"/>
    </row>
    <row r="81" spans="2:7" s="700" customFormat="1" ht="13.8" x14ac:dyDescent="0.25">
      <c r="B81" s="1343"/>
      <c r="C81" s="1063"/>
      <c r="D81" s="1063"/>
      <c r="E81" s="1739"/>
    </row>
    <row r="82" spans="2:7" s="700" customFormat="1" ht="13.8" hidden="1" x14ac:dyDescent="0.25">
      <c r="B82" s="1318" t="s">
        <v>2022</v>
      </c>
      <c r="C82" s="702"/>
      <c r="D82" s="702"/>
      <c r="E82" s="1319"/>
    </row>
    <row r="83" spans="2:7" s="700" customFormat="1" ht="13.8" hidden="1" x14ac:dyDescent="0.25">
      <c r="B83" s="1320" t="s">
        <v>1975</v>
      </c>
      <c r="C83" s="1058" t="s">
        <v>215</v>
      </c>
      <c r="D83" s="1058"/>
      <c r="E83" s="1336"/>
      <c r="F83" s="1698"/>
      <c r="G83" s="1698"/>
    </row>
    <row r="84" spans="2:7" s="700" customFormat="1" ht="13.8" hidden="1" x14ac:dyDescent="0.25">
      <c r="B84" s="1323"/>
      <c r="C84" s="1073" t="s">
        <v>1752</v>
      </c>
      <c r="D84" s="1073"/>
      <c r="E84" s="1327"/>
    </row>
    <row r="85" spans="2:7" s="700" customFormat="1" ht="13.8" hidden="1" x14ac:dyDescent="0.25">
      <c r="B85" s="1322">
        <v>1</v>
      </c>
      <c r="C85" s="710" t="s">
        <v>1605</v>
      </c>
      <c r="D85" s="710"/>
      <c r="E85" s="1740"/>
      <c r="F85" s="1704"/>
      <c r="G85" s="1704"/>
    </row>
    <row r="86" spans="2:7" s="700" customFormat="1" ht="13.8" hidden="1" x14ac:dyDescent="0.25">
      <c r="B86" s="1322">
        <v>2</v>
      </c>
      <c r="C86" s="710" t="s">
        <v>2010</v>
      </c>
      <c r="D86" s="710"/>
      <c r="E86" s="1740"/>
      <c r="F86" s="1704"/>
      <c r="G86" s="1704"/>
    </row>
    <row r="87" spans="2:7" s="700" customFormat="1" ht="13.8" hidden="1" x14ac:dyDescent="0.25">
      <c r="B87" s="1322">
        <v>3</v>
      </c>
      <c r="C87" s="710" t="s">
        <v>2011</v>
      </c>
      <c r="D87" s="710"/>
      <c r="E87" s="1740"/>
      <c r="F87" s="1704"/>
      <c r="G87" s="1704"/>
    </row>
    <row r="88" spans="2:7" s="700" customFormat="1" ht="13.8" hidden="1" x14ac:dyDescent="0.25">
      <c r="B88" s="1322">
        <v>4</v>
      </c>
      <c r="C88" s="1073" t="s">
        <v>2013</v>
      </c>
      <c r="D88" s="1073"/>
      <c r="E88" s="1740"/>
      <c r="F88" s="1704"/>
      <c r="G88" s="1704"/>
    </row>
    <row r="89" spans="2:7" s="700" customFormat="1" ht="13.8" hidden="1" x14ac:dyDescent="0.25">
      <c r="B89" s="1322" t="s">
        <v>1979</v>
      </c>
      <c r="C89" s="710" t="s">
        <v>2012</v>
      </c>
      <c r="D89" s="710"/>
      <c r="E89" s="1740"/>
      <c r="F89" s="1704"/>
      <c r="G89" s="1704"/>
    </row>
    <row r="90" spans="2:7" s="700" customFormat="1" ht="13.8" hidden="1" x14ac:dyDescent="0.25">
      <c r="B90" s="1322" t="s">
        <v>1980</v>
      </c>
      <c r="C90" s="710" t="s">
        <v>1610</v>
      </c>
      <c r="D90" s="710"/>
      <c r="E90" s="1740"/>
      <c r="F90" s="1704"/>
      <c r="G90" s="1704"/>
    </row>
    <row r="91" spans="2:7" s="700" customFormat="1" ht="13.8" hidden="1" x14ac:dyDescent="0.25">
      <c r="B91" s="1322" t="s">
        <v>1981</v>
      </c>
      <c r="C91" s="710" t="s">
        <v>1611</v>
      </c>
      <c r="D91" s="710"/>
      <c r="E91" s="1740"/>
      <c r="F91" s="1704"/>
      <c r="G91" s="1704"/>
    </row>
    <row r="92" spans="2:7" s="702" customFormat="1" ht="27.6" hidden="1" x14ac:dyDescent="0.25">
      <c r="B92" s="1322"/>
      <c r="C92" s="709" t="s">
        <v>2014</v>
      </c>
      <c r="D92" s="709"/>
      <c r="E92" s="1344"/>
      <c r="F92" s="1705"/>
      <c r="G92" s="1705"/>
    </row>
    <row r="93" spans="2:7" s="700" customFormat="1" ht="28.8" hidden="1" x14ac:dyDescent="0.3">
      <c r="B93" s="1322">
        <v>5</v>
      </c>
      <c r="C93" s="1345" t="s">
        <v>2017</v>
      </c>
      <c r="D93" s="1345"/>
      <c r="E93" s="1740"/>
      <c r="F93" s="1704"/>
      <c r="G93" s="1704"/>
    </row>
    <row r="94" spans="2:7" s="700" customFormat="1" ht="13.8" hidden="1" x14ac:dyDescent="0.25">
      <c r="B94" s="1322"/>
      <c r="C94" s="1346" t="s">
        <v>2015</v>
      </c>
      <c r="D94" s="1346"/>
      <c r="E94" s="1740"/>
      <c r="F94" s="1704"/>
      <c r="G94" s="1704"/>
    </row>
    <row r="95" spans="2:7" s="700" customFormat="1" ht="13.8" hidden="1" x14ac:dyDescent="0.25">
      <c r="B95" s="1322"/>
      <c r="C95" s="710" t="s">
        <v>1611</v>
      </c>
      <c r="D95" s="710"/>
      <c r="E95" s="1740"/>
      <c r="F95" s="1704"/>
      <c r="G95" s="1704"/>
    </row>
    <row r="96" spans="2:7" s="700" customFormat="1" ht="13.8" hidden="1" x14ac:dyDescent="0.25">
      <c r="B96" s="1322"/>
      <c r="C96" s="710" t="s">
        <v>1616</v>
      </c>
      <c r="D96" s="710"/>
      <c r="E96" s="1740"/>
      <c r="F96" s="1704"/>
      <c r="G96" s="1704"/>
    </row>
    <row r="97" spans="2:7" s="700" customFormat="1" ht="27.6" hidden="1" x14ac:dyDescent="0.25">
      <c r="B97" s="1322"/>
      <c r="C97" s="709" t="s">
        <v>1982</v>
      </c>
      <c r="D97" s="709"/>
      <c r="E97" s="1347"/>
      <c r="F97" s="1704"/>
      <c r="G97" s="1704"/>
    </row>
    <row r="98" spans="2:7" s="702" customFormat="1" hidden="1" thickBot="1" x14ac:dyDescent="0.3">
      <c r="B98" s="1348"/>
      <c r="C98" s="713" t="s">
        <v>2016</v>
      </c>
      <c r="D98" s="1549"/>
      <c r="E98" s="1349"/>
      <c r="F98" s="1705"/>
      <c r="G98" s="1705"/>
    </row>
    <row r="99" spans="2:7" s="700" customFormat="1" ht="13.8" hidden="1" x14ac:dyDescent="0.25">
      <c r="B99" s="1322"/>
      <c r="C99" s="1073" t="s">
        <v>450</v>
      </c>
      <c r="D99" s="1073"/>
      <c r="E99" s="1740"/>
      <c r="F99" s="1704"/>
      <c r="G99" s="1704"/>
    </row>
    <row r="100" spans="2:7" s="700" customFormat="1" ht="13.8" hidden="1" x14ac:dyDescent="0.25">
      <c r="B100" s="1322">
        <v>1</v>
      </c>
      <c r="C100" s="710" t="s">
        <v>1605</v>
      </c>
      <c r="D100" s="710"/>
      <c r="E100" s="1740"/>
      <c r="F100" s="1704"/>
      <c r="G100" s="1704"/>
    </row>
    <row r="101" spans="2:7" s="700" customFormat="1" ht="13.8" hidden="1" x14ac:dyDescent="0.25">
      <c r="B101" s="1322">
        <v>2</v>
      </c>
      <c r="C101" s="710" t="s">
        <v>2010</v>
      </c>
      <c r="D101" s="710"/>
      <c r="E101" s="1740"/>
      <c r="F101" s="1704"/>
      <c r="G101" s="1704"/>
    </row>
    <row r="102" spans="2:7" s="700" customFormat="1" ht="13.8" hidden="1" x14ac:dyDescent="0.25">
      <c r="B102" s="1322">
        <v>3</v>
      </c>
      <c r="C102" s="710" t="s">
        <v>2011</v>
      </c>
      <c r="D102" s="710"/>
      <c r="E102" s="1740"/>
      <c r="F102" s="1704"/>
      <c r="G102" s="1704"/>
    </row>
    <row r="103" spans="2:7" s="700" customFormat="1" ht="13.8" hidden="1" x14ac:dyDescent="0.25">
      <c r="B103" s="1322">
        <v>4</v>
      </c>
      <c r="C103" s="1073" t="s">
        <v>2013</v>
      </c>
      <c r="D103" s="1073"/>
      <c r="E103" s="1740"/>
      <c r="F103" s="1704"/>
      <c r="G103" s="1704"/>
    </row>
    <row r="104" spans="2:7" s="700" customFormat="1" ht="13.8" hidden="1" x14ac:dyDescent="0.25">
      <c r="B104" s="1322" t="s">
        <v>1979</v>
      </c>
      <c r="C104" s="710" t="s">
        <v>2012</v>
      </c>
      <c r="D104" s="710"/>
      <c r="E104" s="1740"/>
      <c r="F104" s="1704"/>
      <c r="G104" s="1704"/>
    </row>
    <row r="105" spans="2:7" s="700" customFormat="1" ht="13.8" hidden="1" x14ac:dyDescent="0.25">
      <c r="B105" s="1322" t="s">
        <v>1980</v>
      </c>
      <c r="C105" s="710" t="s">
        <v>1610</v>
      </c>
      <c r="D105" s="710"/>
      <c r="E105" s="1740"/>
      <c r="F105" s="1704"/>
      <c r="G105" s="1704"/>
    </row>
    <row r="106" spans="2:7" s="700" customFormat="1" ht="13.8" hidden="1" x14ac:dyDescent="0.25">
      <c r="B106" s="1322" t="s">
        <v>1981</v>
      </c>
      <c r="C106" s="710" t="s">
        <v>1611</v>
      </c>
      <c r="D106" s="710"/>
      <c r="E106" s="1740"/>
      <c r="F106" s="1704"/>
      <c r="G106" s="1704"/>
    </row>
    <row r="107" spans="2:7" s="702" customFormat="1" ht="27.6" hidden="1" x14ac:dyDescent="0.25">
      <c r="B107" s="1322"/>
      <c r="C107" s="709" t="s">
        <v>2014</v>
      </c>
      <c r="D107" s="709"/>
      <c r="E107" s="1344"/>
      <c r="F107" s="1705"/>
      <c r="G107" s="1705"/>
    </row>
    <row r="108" spans="2:7" s="700" customFormat="1" ht="28.8" hidden="1" x14ac:dyDescent="0.3">
      <c r="B108" s="1322">
        <v>5</v>
      </c>
      <c r="C108" s="1345" t="s">
        <v>2017</v>
      </c>
      <c r="D108" s="1345"/>
      <c r="E108" s="1740"/>
      <c r="F108" s="1704"/>
      <c r="G108" s="1704"/>
    </row>
    <row r="109" spans="2:7" s="700" customFormat="1" ht="13.8" hidden="1" x14ac:dyDescent="0.25">
      <c r="B109" s="1322"/>
      <c r="C109" s="1346" t="s">
        <v>2015</v>
      </c>
      <c r="D109" s="1346"/>
      <c r="E109" s="1740"/>
      <c r="F109" s="1704"/>
      <c r="G109" s="1704"/>
    </row>
    <row r="110" spans="2:7" s="700" customFormat="1" ht="13.8" hidden="1" x14ac:dyDescent="0.25">
      <c r="B110" s="1322"/>
      <c r="C110" s="710" t="s">
        <v>1611</v>
      </c>
      <c r="D110" s="710"/>
      <c r="E110" s="1740"/>
      <c r="F110" s="1704"/>
      <c r="G110" s="1704"/>
    </row>
    <row r="111" spans="2:7" s="700" customFormat="1" ht="13.8" hidden="1" x14ac:dyDescent="0.25">
      <c r="B111" s="1322"/>
      <c r="C111" s="710" t="s">
        <v>1616</v>
      </c>
      <c r="D111" s="710"/>
      <c r="E111" s="1740"/>
      <c r="F111" s="1704"/>
      <c r="G111" s="1704"/>
    </row>
    <row r="112" spans="2:7" s="700" customFormat="1" ht="27.6" hidden="1" x14ac:dyDescent="0.25">
      <c r="B112" s="1322"/>
      <c r="C112" s="709" t="s">
        <v>1982</v>
      </c>
      <c r="D112" s="709"/>
      <c r="E112" s="1347"/>
      <c r="F112" s="1704"/>
      <c r="G112" s="1704"/>
    </row>
    <row r="113" spans="2:7" s="702" customFormat="1" hidden="1" thickBot="1" x14ac:dyDescent="0.3">
      <c r="B113" s="1339"/>
      <c r="C113" s="713" t="s">
        <v>2016</v>
      </c>
      <c r="D113" s="1549"/>
      <c r="E113" s="1349"/>
      <c r="F113" s="1705"/>
      <c r="G113" s="1705"/>
    </row>
    <row r="114" spans="2:7" s="702" customFormat="1" ht="13.8" x14ac:dyDescent="0.25">
      <c r="B114" s="1318"/>
      <c r="C114" s="709"/>
      <c r="D114" s="709"/>
      <c r="E114" s="1741"/>
    </row>
    <row r="115" spans="2:7" s="700" customFormat="1" ht="13.8" x14ac:dyDescent="0.25">
      <c r="B115" s="1350" t="s">
        <v>2303</v>
      </c>
      <c r="C115" s="692"/>
      <c r="D115" s="692"/>
      <c r="E115" s="1742"/>
      <c r="F115" s="762"/>
      <c r="G115" s="1706"/>
    </row>
    <row r="116" spans="2:7" s="700" customFormat="1" ht="27.6" x14ac:dyDescent="0.25">
      <c r="B116" s="1320" t="s">
        <v>1975</v>
      </c>
      <c r="C116" s="1058" t="s">
        <v>215</v>
      </c>
      <c r="D116" s="852" t="str">
        <f>D49</f>
        <v>As at Mar 31, 2023</v>
      </c>
      <c r="E116" s="1336" t="s">
        <v>2370</v>
      </c>
      <c r="F116" s="1698"/>
      <c r="G116" s="1698"/>
    </row>
    <row r="117" spans="2:7" s="700" customFormat="1" ht="13.8" x14ac:dyDescent="0.25">
      <c r="B117" s="1351"/>
      <c r="C117" s="692" t="s">
        <v>1621</v>
      </c>
      <c r="D117" s="756"/>
      <c r="E117" s="1353"/>
      <c r="F117" s="762"/>
      <c r="G117" s="762"/>
    </row>
    <row r="118" spans="2:7" s="700" customFormat="1" ht="13.8" x14ac:dyDescent="0.25">
      <c r="B118" s="1351"/>
      <c r="C118" s="869" t="s">
        <v>1626</v>
      </c>
      <c r="D118" s="756"/>
      <c r="E118" s="1353"/>
      <c r="F118" s="762"/>
      <c r="G118" s="762"/>
    </row>
    <row r="119" spans="2:7" s="700" customFormat="1" ht="13.8" x14ac:dyDescent="0.25">
      <c r="B119" s="1351"/>
      <c r="C119" s="691" t="s">
        <v>1622</v>
      </c>
      <c r="D119" s="756">
        <v>0</v>
      </c>
      <c r="E119" s="1353">
        <v>0</v>
      </c>
      <c r="F119" s="762"/>
      <c r="G119" s="762"/>
    </row>
    <row r="120" spans="2:7" s="700" customFormat="1" ht="13.8" x14ac:dyDescent="0.25">
      <c r="B120" s="1351"/>
      <c r="C120" s="691" t="s">
        <v>1623</v>
      </c>
      <c r="D120" s="756">
        <v>0</v>
      </c>
      <c r="E120" s="1353">
        <v>0</v>
      </c>
      <c r="F120" s="762"/>
      <c r="G120" s="762"/>
    </row>
    <row r="121" spans="2:7" s="700" customFormat="1" thickBot="1" x14ac:dyDescent="0.3">
      <c r="B121" s="1351"/>
      <c r="C121" s="869" t="s">
        <v>1624</v>
      </c>
      <c r="D121" s="1079">
        <v>0</v>
      </c>
      <c r="E121" s="1354">
        <v>0</v>
      </c>
      <c r="F121" s="761"/>
      <c r="G121" s="761"/>
    </row>
    <row r="122" spans="2:7" s="700" customFormat="1" thickTop="1" x14ac:dyDescent="0.25">
      <c r="B122" s="1351"/>
      <c r="C122" s="691"/>
      <c r="D122" s="756"/>
      <c r="E122" s="1353"/>
      <c r="F122" s="762"/>
      <c r="G122" s="762"/>
    </row>
    <row r="123" spans="2:7" s="700" customFormat="1" ht="13.8" x14ac:dyDescent="0.25">
      <c r="B123" s="1351"/>
      <c r="C123" s="692" t="s">
        <v>1625</v>
      </c>
      <c r="D123" s="756"/>
      <c r="E123" s="1353"/>
      <c r="F123" s="762"/>
      <c r="G123" s="762"/>
    </row>
    <row r="124" spans="2:7" s="700" customFormat="1" ht="13.8" x14ac:dyDescent="0.25">
      <c r="B124" s="1351"/>
      <c r="C124" s="869" t="s">
        <v>1626</v>
      </c>
      <c r="D124" s="756">
        <v>0</v>
      </c>
      <c r="E124" s="1353">
        <v>0</v>
      </c>
      <c r="F124" s="762"/>
      <c r="G124" s="762"/>
    </row>
    <row r="125" spans="2:7" s="700" customFormat="1" ht="13.8" x14ac:dyDescent="0.25">
      <c r="B125" s="1351"/>
      <c r="C125" s="691" t="s">
        <v>1713</v>
      </c>
      <c r="D125" s="756">
        <v>0</v>
      </c>
      <c r="E125" s="1353">
        <v>0</v>
      </c>
      <c r="F125" s="762"/>
      <c r="G125" s="762"/>
    </row>
    <row r="126" spans="2:7" s="700" customFormat="1" ht="13.8" x14ac:dyDescent="0.25">
      <c r="B126" s="1351"/>
      <c r="C126" s="691" t="s">
        <v>1627</v>
      </c>
      <c r="D126" s="756">
        <v>0</v>
      </c>
      <c r="E126" s="1353">
        <v>0</v>
      </c>
      <c r="F126" s="762"/>
      <c r="G126" s="762"/>
    </row>
    <row r="127" spans="2:7" s="700" customFormat="1" thickBot="1" x14ac:dyDescent="0.3">
      <c r="B127" s="1351"/>
      <c r="C127" s="869" t="s">
        <v>1628</v>
      </c>
      <c r="D127" s="1080">
        <f>D124+D125-D126</f>
        <v>0</v>
      </c>
      <c r="E127" s="1355">
        <v>0</v>
      </c>
      <c r="F127" s="762"/>
      <c r="G127" s="762"/>
    </row>
    <row r="128" spans="2:7" s="700" customFormat="1" thickTop="1" x14ac:dyDescent="0.25">
      <c r="B128" s="1351"/>
      <c r="C128" s="692" t="s">
        <v>1629</v>
      </c>
      <c r="D128" s="1081"/>
      <c r="E128" s="1353"/>
      <c r="F128" s="762"/>
      <c r="G128" s="762"/>
    </row>
    <row r="129" spans="2:7" s="700" customFormat="1" ht="13.8" x14ac:dyDescent="0.25">
      <c r="B129" s="1351"/>
      <c r="C129" s="691" t="s">
        <v>1630</v>
      </c>
      <c r="D129" s="1081">
        <v>0</v>
      </c>
      <c r="E129" s="1353">
        <v>0</v>
      </c>
      <c r="F129" s="762"/>
      <c r="G129" s="762"/>
    </row>
    <row r="130" spans="2:7" s="700" customFormat="1" ht="13.8" x14ac:dyDescent="0.25">
      <c r="B130" s="1351"/>
      <c r="C130" s="691" t="s">
        <v>1631</v>
      </c>
      <c r="D130" s="1081">
        <v>0</v>
      </c>
      <c r="E130" s="1353">
        <v>0</v>
      </c>
      <c r="F130" s="762"/>
      <c r="G130" s="762"/>
    </row>
    <row r="131" spans="2:7" s="700" customFormat="1" ht="13.8" x14ac:dyDescent="0.25">
      <c r="B131" s="1351"/>
      <c r="C131" s="691" t="s">
        <v>1632</v>
      </c>
      <c r="D131" s="1081">
        <v>0</v>
      </c>
      <c r="E131" s="1353">
        <v>0</v>
      </c>
      <c r="F131" s="762"/>
      <c r="G131" s="762"/>
    </row>
    <row r="132" spans="2:7" s="700" customFormat="1" ht="13.8" x14ac:dyDescent="0.25">
      <c r="B132" s="1351"/>
      <c r="C132" s="698" t="s">
        <v>1633</v>
      </c>
      <c r="D132" s="1081">
        <v>0</v>
      </c>
      <c r="E132" s="1353">
        <v>0</v>
      </c>
      <c r="F132" s="762"/>
      <c r="G132" s="762"/>
    </row>
    <row r="133" spans="2:7" s="700" customFormat="1" ht="13.8" x14ac:dyDescent="0.25">
      <c r="B133" s="1351"/>
      <c r="C133" s="691" t="s">
        <v>267</v>
      </c>
      <c r="D133" s="1081">
        <v>0</v>
      </c>
      <c r="E133" s="1353">
        <v>0</v>
      </c>
      <c r="F133" s="762"/>
      <c r="G133" s="762"/>
    </row>
    <row r="134" spans="2:7" s="700" customFormat="1" thickBot="1" x14ac:dyDescent="0.3">
      <c r="B134" s="1351"/>
      <c r="C134" s="869" t="s">
        <v>1636</v>
      </c>
      <c r="D134" s="1082">
        <f>SUM(D130:D133)</f>
        <v>0</v>
      </c>
      <c r="E134" s="1356">
        <v>0</v>
      </c>
      <c r="F134" s="762"/>
      <c r="G134" s="762"/>
    </row>
    <row r="135" spans="2:7" s="700" customFormat="1" thickTop="1" x14ac:dyDescent="0.25">
      <c r="B135" s="1351"/>
      <c r="C135" s="692" t="s">
        <v>1634</v>
      </c>
      <c r="D135" s="1081"/>
      <c r="E135" s="1353"/>
      <c r="F135" s="762"/>
      <c r="G135" s="762"/>
    </row>
    <row r="136" spans="2:7" s="700" customFormat="1" ht="13.8" x14ac:dyDescent="0.25">
      <c r="B136" s="1351"/>
      <c r="C136" s="691" t="s">
        <v>1826</v>
      </c>
      <c r="D136" s="1081">
        <v>0</v>
      </c>
      <c r="E136" s="1353">
        <v>0</v>
      </c>
      <c r="F136" s="762"/>
      <c r="G136" s="762"/>
    </row>
    <row r="137" spans="2:7" s="700" customFormat="1" ht="13.8" x14ac:dyDescent="0.25">
      <c r="B137" s="1351"/>
      <c r="C137" s="691" t="s">
        <v>267</v>
      </c>
      <c r="D137" s="1081">
        <v>0</v>
      </c>
      <c r="E137" s="1353">
        <v>0</v>
      </c>
      <c r="F137" s="762"/>
      <c r="G137" s="762"/>
    </row>
    <row r="138" spans="2:7" s="700" customFormat="1" thickBot="1" x14ac:dyDescent="0.3">
      <c r="B138" s="1351"/>
      <c r="C138" s="869" t="s">
        <v>1637</v>
      </c>
      <c r="D138" s="1083">
        <f>SUM(D136:D137)</f>
        <v>0</v>
      </c>
      <c r="E138" s="1357">
        <v>0</v>
      </c>
      <c r="F138" s="761"/>
      <c r="G138" s="761"/>
    </row>
    <row r="139" spans="2:7" s="700" customFormat="1" ht="15" thickTop="1" thickBot="1" x14ac:dyDescent="0.3">
      <c r="B139" s="1358"/>
      <c r="C139" s="1084" t="s">
        <v>1635</v>
      </c>
      <c r="D139" s="1085">
        <f>D134-D138</f>
        <v>0</v>
      </c>
      <c r="E139" s="1354">
        <v>0</v>
      </c>
      <c r="F139" s="761"/>
      <c r="G139" s="761"/>
    </row>
    <row r="140" spans="2:7" s="700" customFormat="1" thickTop="1" x14ac:dyDescent="0.25">
      <c r="B140" s="1343"/>
      <c r="E140" s="1335"/>
    </row>
    <row r="141" spans="2:7" s="700" customFormat="1" ht="13.8" x14ac:dyDescent="0.25">
      <c r="B141" s="1359" t="s">
        <v>2304</v>
      </c>
      <c r="C141" s="1086"/>
      <c r="D141" s="1086"/>
      <c r="E141" s="1743"/>
      <c r="F141" s="1535"/>
      <c r="G141" s="1707"/>
    </row>
    <row r="142" spans="2:7" s="700" customFormat="1" ht="27.6" x14ac:dyDescent="0.25">
      <c r="B142" s="1320" t="s">
        <v>1975</v>
      </c>
      <c r="C142" s="1058" t="s">
        <v>215</v>
      </c>
      <c r="D142" s="852" t="str">
        <f>D116</f>
        <v>As at Mar 31, 2023</v>
      </c>
      <c r="E142" s="1336" t="s">
        <v>2370</v>
      </c>
      <c r="F142" s="1698"/>
      <c r="G142" s="1698"/>
    </row>
    <row r="143" spans="2:7" s="700" customFormat="1" ht="13.8" x14ac:dyDescent="0.25">
      <c r="B143" s="1360" t="s">
        <v>1976</v>
      </c>
      <c r="C143" s="1087" t="s">
        <v>1983</v>
      </c>
      <c r="D143" s="1088"/>
      <c r="E143" s="1744"/>
      <c r="F143" s="1708"/>
      <c r="G143" s="1708"/>
    </row>
    <row r="144" spans="2:7" s="700" customFormat="1" ht="13.8" x14ac:dyDescent="0.25">
      <c r="B144" s="1360"/>
      <c r="C144" s="1089" t="s">
        <v>1670</v>
      </c>
      <c r="D144" s="1195">
        <f>'Sundry Creditors'!M182</f>
        <v>111772453.63000001</v>
      </c>
      <c r="E144" s="1329">
        <v>0</v>
      </c>
      <c r="F144" s="1709"/>
      <c r="G144" s="1710"/>
    </row>
    <row r="145" spans="2:8" s="700" customFormat="1" ht="13.8" x14ac:dyDescent="0.25">
      <c r="B145" s="1360"/>
      <c r="C145" s="1089" t="s">
        <v>1671</v>
      </c>
      <c r="D145" s="1068">
        <f>'Sundry Creditors'!B168</f>
        <v>0</v>
      </c>
      <c r="E145" s="1329">
        <v>9905078.7699999996</v>
      </c>
      <c r="F145" s="1699"/>
      <c r="G145" s="1699"/>
    </row>
    <row r="146" spans="2:8" s="700" customFormat="1" ht="13.8" x14ac:dyDescent="0.25">
      <c r="B146" s="1360"/>
      <c r="C146" s="1087" t="s">
        <v>1681</v>
      </c>
      <c r="D146" s="1195"/>
      <c r="E146" s="1329"/>
      <c r="F146" s="1709"/>
      <c r="G146" s="1710"/>
    </row>
    <row r="147" spans="2:8" s="700" customFormat="1" ht="13.8" x14ac:dyDescent="0.25">
      <c r="B147" s="1360"/>
      <c r="C147" s="1091" t="s">
        <v>1682</v>
      </c>
      <c r="D147" s="1195">
        <v>0</v>
      </c>
      <c r="E147" s="1329">
        <v>0</v>
      </c>
      <c r="F147" s="1709"/>
      <c r="G147" s="1709"/>
    </row>
    <row r="148" spans="2:8" s="700" customFormat="1" ht="13.8" x14ac:dyDescent="0.25">
      <c r="B148" s="1360"/>
      <c r="C148" s="1091" t="s">
        <v>1672</v>
      </c>
      <c r="D148" s="1195">
        <v>0</v>
      </c>
      <c r="E148" s="1329">
        <v>0</v>
      </c>
      <c r="F148" s="1709"/>
      <c r="G148" s="1710"/>
    </row>
    <row r="149" spans="2:8" s="700" customFormat="1" ht="13.8" x14ac:dyDescent="0.25">
      <c r="B149" s="1360"/>
      <c r="C149" s="1091" t="s">
        <v>1673</v>
      </c>
      <c r="D149" s="1195"/>
      <c r="E149" s="1329"/>
      <c r="F149" s="1709"/>
      <c r="G149" s="1710"/>
    </row>
    <row r="150" spans="2:8" s="700" customFormat="1" ht="13.8" x14ac:dyDescent="0.25">
      <c r="B150" s="1360"/>
      <c r="C150" s="1190" t="s">
        <v>2100</v>
      </c>
      <c r="D150" s="1195">
        <v>0</v>
      </c>
      <c r="E150" s="1329">
        <v>0</v>
      </c>
      <c r="F150" s="1708"/>
      <c r="G150" s="1708"/>
    </row>
    <row r="151" spans="2:8" s="700" customFormat="1" thickBot="1" x14ac:dyDescent="0.3">
      <c r="B151" s="1362"/>
      <c r="C151" s="1092" t="s">
        <v>1675</v>
      </c>
      <c r="D151" s="1813">
        <f>SUM(D144:D150)</f>
        <v>111772453.63000001</v>
      </c>
      <c r="E151" s="1779">
        <v>9905078.7699999996</v>
      </c>
      <c r="F151" s="1711"/>
      <c r="G151" s="1711"/>
    </row>
    <row r="152" spans="2:8" s="700" customFormat="1" thickTop="1" x14ac:dyDescent="0.25">
      <c r="B152" s="1343"/>
      <c r="E152" s="1335"/>
    </row>
    <row r="153" spans="2:8" s="700" customFormat="1" ht="13.8" x14ac:dyDescent="0.25">
      <c r="B153" s="1363" t="s">
        <v>2305</v>
      </c>
      <c r="C153" s="1093"/>
      <c r="D153" s="1093"/>
      <c r="E153" s="1745"/>
      <c r="F153" s="762"/>
      <c r="G153" s="1706"/>
    </row>
    <row r="154" spans="2:8" s="700" customFormat="1" ht="27.6" x14ac:dyDescent="0.25">
      <c r="B154" s="1364"/>
      <c r="C154" s="1094" t="s">
        <v>215</v>
      </c>
      <c r="D154" s="852" t="str">
        <f>D142</f>
        <v>As at Mar 31, 2023</v>
      </c>
      <c r="E154" s="1336" t="s">
        <v>2370</v>
      </c>
      <c r="F154" s="1698"/>
      <c r="G154" s="1698"/>
    </row>
    <row r="155" spans="2:8" s="700" customFormat="1" ht="13.8" x14ac:dyDescent="0.25">
      <c r="B155" s="1351">
        <v>1</v>
      </c>
      <c r="C155" s="685" t="s">
        <v>262</v>
      </c>
      <c r="D155" s="755">
        <v>0</v>
      </c>
      <c r="E155" s="1352">
        <v>0</v>
      </c>
      <c r="F155" s="762"/>
      <c r="G155" s="762"/>
    </row>
    <row r="156" spans="2:8" s="700" customFormat="1" ht="13.8" x14ac:dyDescent="0.25">
      <c r="B156" s="1351">
        <v>2</v>
      </c>
      <c r="C156" s="685" t="s">
        <v>263</v>
      </c>
      <c r="D156" s="755">
        <v>0</v>
      </c>
      <c r="E156" s="1352">
        <v>0</v>
      </c>
      <c r="F156" s="762"/>
      <c r="G156" s="762"/>
    </row>
    <row r="157" spans="2:8" s="700" customFormat="1" ht="13.8" x14ac:dyDescent="0.25">
      <c r="B157" s="1351">
        <v>3</v>
      </c>
      <c r="C157" s="685" t="s">
        <v>264</v>
      </c>
      <c r="D157" s="755">
        <v>0</v>
      </c>
      <c r="E157" s="1352">
        <v>0</v>
      </c>
      <c r="F157" s="762"/>
      <c r="G157" s="762"/>
    </row>
    <row r="158" spans="2:8" s="700" customFormat="1" ht="13.8" x14ac:dyDescent="0.25">
      <c r="B158" s="1351">
        <v>4</v>
      </c>
      <c r="C158" s="685" t="s">
        <v>265</v>
      </c>
      <c r="D158" s="1352">
        <f>D468</f>
        <v>8848423</v>
      </c>
      <c r="E158" s="1352">
        <v>259478.3</v>
      </c>
      <c r="F158" s="762"/>
      <c r="G158" s="762"/>
    </row>
    <row r="159" spans="2:8" s="700" customFormat="1" ht="13.8" x14ac:dyDescent="0.25">
      <c r="B159" s="1351">
        <v>5</v>
      </c>
      <c r="C159" s="685" t="s">
        <v>1336</v>
      </c>
      <c r="D159" s="755">
        <v>0</v>
      </c>
      <c r="E159" s="1352">
        <v>0</v>
      </c>
      <c r="F159" s="762"/>
      <c r="G159" s="762"/>
      <c r="H159" s="1325"/>
    </row>
    <row r="160" spans="2:8" s="700" customFormat="1" ht="13.8" x14ac:dyDescent="0.25">
      <c r="B160" s="1351">
        <v>6</v>
      </c>
      <c r="C160" s="685" t="s">
        <v>1684</v>
      </c>
      <c r="D160" s="755">
        <v>0</v>
      </c>
      <c r="E160" s="1352">
        <v>0</v>
      </c>
      <c r="F160" s="762"/>
      <c r="G160" s="762"/>
    </row>
    <row r="161" spans="2:7" s="700" customFormat="1" thickBot="1" x14ac:dyDescent="0.3">
      <c r="B161" s="1365"/>
      <c r="C161" s="1095" t="s">
        <v>1683</v>
      </c>
      <c r="D161" s="853">
        <f>SUM(D155:D160)</f>
        <v>8848423</v>
      </c>
      <c r="E161" s="1357">
        <v>259478.3</v>
      </c>
      <c r="F161" s="761"/>
      <c r="G161" s="761"/>
    </row>
    <row r="162" spans="2:7" s="700" customFormat="1" thickTop="1" x14ac:dyDescent="0.25">
      <c r="B162" s="1343"/>
      <c r="E162" s="1335"/>
    </row>
    <row r="163" spans="2:7" s="700" customFormat="1" ht="13.8" x14ac:dyDescent="0.25">
      <c r="B163" s="1350" t="s">
        <v>2306</v>
      </c>
      <c r="C163" s="691"/>
      <c r="D163" s="691"/>
      <c r="E163" s="1746"/>
    </row>
    <row r="164" spans="2:7" s="700" customFormat="1" ht="41.4" x14ac:dyDescent="0.25">
      <c r="B164" s="1366" t="s">
        <v>1975</v>
      </c>
      <c r="C164" s="1094"/>
      <c r="D164" s="852" t="s">
        <v>1687</v>
      </c>
      <c r="E164" s="1336" t="s">
        <v>1687</v>
      </c>
      <c r="F164" s="1698"/>
      <c r="G164" s="1698"/>
    </row>
    <row r="165" spans="2:7" s="700" customFormat="1" ht="13.8" x14ac:dyDescent="0.25">
      <c r="B165" s="1321" t="s">
        <v>1976</v>
      </c>
      <c r="C165" s="1096" t="s">
        <v>1667</v>
      </c>
      <c r="D165" s="1097"/>
      <c r="E165" s="1380"/>
      <c r="F165" s="1698"/>
      <c r="G165" s="1698"/>
    </row>
    <row r="166" spans="2:7" s="700" customFormat="1" ht="13.8" x14ac:dyDescent="0.25">
      <c r="B166" s="1360" t="s">
        <v>1979</v>
      </c>
      <c r="C166" s="685" t="s">
        <v>262</v>
      </c>
      <c r="D166" s="755"/>
      <c r="E166" s="1352"/>
      <c r="F166" s="762"/>
      <c r="G166" s="762"/>
    </row>
    <row r="167" spans="2:7" s="700" customFormat="1" ht="13.8" x14ac:dyDescent="0.25">
      <c r="B167" s="1360" t="s">
        <v>1980</v>
      </c>
      <c r="C167" s="685" t="s">
        <v>264</v>
      </c>
      <c r="D167" s="755"/>
      <c r="E167" s="1352"/>
      <c r="F167" s="762"/>
      <c r="G167" s="762"/>
    </row>
    <row r="168" spans="2:7" s="700" customFormat="1" ht="13.8" x14ac:dyDescent="0.25">
      <c r="B168" s="1360" t="s">
        <v>1981</v>
      </c>
      <c r="C168" s="685" t="s">
        <v>265</v>
      </c>
      <c r="D168" s="755"/>
      <c r="E168" s="1352"/>
      <c r="F168" s="762"/>
      <c r="G168" s="762"/>
    </row>
    <row r="169" spans="2:7" s="700" customFormat="1" ht="13.8" x14ac:dyDescent="0.25">
      <c r="B169" s="1321" t="s">
        <v>1977</v>
      </c>
      <c r="C169" s="770" t="s">
        <v>1668</v>
      </c>
      <c r="D169" s="755"/>
      <c r="E169" s="1352"/>
      <c r="F169" s="762"/>
      <c r="G169" s="762"/>
    </row>
    <row r="170" spans="2:7" s="700" customFormat="1" ht="13.8" x14ac:dyDescent="0.25">
      <c r="B170" s="1360" t="s">
        <v>1979</v>
      </c>
      <c r="C170" s="685" t="s">
        <v>262</v>
      </c>
      <c r="D170" s="755"/>
      <c r="E170" s="1352"/>
      <c r="F170" s="762"/>
      <c r="G170" s="762"/>
    </row>
    <row r="171" spans="2:7" s="700" customFormat="1" ht="13.8" x14ac:dyDescent="0.25">
      <c r="B171" s="1360" t="s">
        <v>1980</v>
      </c>
      <c r="C171" s="685" t="s">
        <v>264</v>
      </c>
      <c r="D171" s="755"/>
      <c r="E171" s="1352"/>
      <c r="F171" s="762"/>
      <c r="G171" s="762"/>
    </row>
    <row r="172" spans="2:7" s="700" customFormat="1" ht="13.8" x14ac:dyDescent="0.25">
      <c r="B172" s="1360" t="s">
        <v>1981</v>
      </c>
      <c r="C172" s="685" t="s">
        <v>265</v>
      </c>
      <c r="D172" s="755"/>
      <c r="E172" s="1352"/>
      <c r="F172" s="762"/>
      <c r="G172" s="762"/>
    </row>
    <row r="173" spans="2:7" s="700" customFormat="1" thickBot="1" x14ac:dyDescent="0.3">
      <c r="B173" s="1362"/>
      <c r="C173" s="1095" t="s">
        <v>1683</v>
      </c>
      <c r="D173" s="853">
        <v>0</v>
      </c>
      <c r="E173" s="1357">
        <v>0</v>
      </c>
      <c r="F173" s="761"/>
      <c r="G173" s="761"/>
    </row>
    <row r="174" spans="2:7" s="700" customFormat="1" thickTop="1" x14ac:dyDescent="0.25">
      <c r="B174" s="1363" t="s">
        <v>2307</v>
      </c>
      <c r="C174" s="1093"/>
      <c r="D174" s="1093"/>
      <c r="E174" s="1745"/>
      <c r="F174" s="762"/>
      <c r="G174" s="1706"/>
    </row>
    <row r="175" spans="2:7" s="700" customFormat="1" ht="27.6" x14ac:dyDescent="0.25">
      <c r="B175" s="1364" t="s">
        <v>1975</v>
      </c>
      <c r="C175" s="1094" t="s">
        <v>215</v>
      </c>
      <c r="D175" s="852" t="str">
        <f>D154</f>
        <v>As at Mar 31, 2023</v>
      </c>
      <c r="E175" s="1336" t="s">
        <v>2370</v>
      </c>
      <c r="F175" s="1698"/>
      <c r="G175" s="1698"/>
    </row>
    <row r="176" spans="2:7" s="700" customFormat="1" ht="13.8" x14ac:dyDescent="0.25">
      <c r="B176" s="1351">
        <v>1</v>
      </c>
      <c r="C176" s="1098" t="s">
        <v>2308</v>
      </c>
      <c r="D176" s="1886">
        <f>'Trial Balance'!R1257+1100000</f>
        <v>10361.989999999991</v>
      </c>
      <c r="E176" s="1368">
        <v>7511</v>
      </c>
      <c r="F176" s="1706"/>
      <c r="G176" s="1706"/>
    </row>
    <row r="177" spans="2:7" s="700" customFormat="1" ht="27.6" x14ac:dyDescent="0.25">
      <c r="B177" s="1351">
        <v>2</v>
      </c>
      <c r="C177" s="1098" t="s">
        <v>1984</v>
      </c>
      <c r="D177" s="765">
        <f>'Trial Balance'!R1259</f>
        <v>241807.09</v>
      </c>
      <c r="E177" s="1368">
        <v>66102.05</v>
      </c>
      <c r="F177" s="1706"/>
      <c r="G177" s="1706"/>
    </row>
    <row r="178" spans="2:7" s="700" customFormat="1" thickBot="1" x14ac:dyDescent="0.3">
      <c r="B178" s="1365"/>
      <c r="C178" s="1100" t="s">
        <v>1699</v>
      </c>
      <c r="D178" s="1101">
        <f>SUM(D176:D177)</f>
        <v>252169.08</v>
      </c>
      <c r="E178" s="1369">
        <v>73613.05</v>
      </c>
      <c r="F178" s="1109"/>
      <c r="G178" s="1109"/>
    </row>
    <row r="179" spans="2:7" s="700" customFormat="1" thickTop="1" x14ac:dyDescent="0.25">
      <c r="B179" s="1350" t="s">
        <v>1541</v>
      </c>
      <c r="E179" s="1335"/>
    </row>
    <row r="180" spans="2:7" s="700" customFormat="1" ht="13.8" x14ac:dyDescent="0.25">
      <c r="B180" s="1987" t="s">
        <v>1985</v>
      </c>
      <c r="C180" s="1988"/>
      <c r="D180" s="1988"/>
      <c r="E180" s="1989"/>
    </row>
    <row r="181" spans="2:7" s="700" customFormat="1" ht="28.2" customHeight="1" x14ac:dyDescent="0.25">
      <c r="B181" s="1990" t="s">
        <v>1986</v>
      </c>
      <c r="C181" s="1991"/>
      <c r="D181" s="1991"/>
      <c r="E181" s="1992"/>
      <c r="F181" s="1112"/>
      <c r="G181" s="1112"/>
    </row>
    <row r="182" spans="2:7" s="700" customFormat="1" ht="13.8" x14ac:dyDescent="0.25">
      <c r="B182" s="1343"/>
      <c r="E182" s="1335"/>
    </row>
    <row r="183" spans="2:7" s="700" customFormat="1" ht="13.8" x14ac:dyDescent="0.25">
      <c r="B183" s="1363" t="s">
        <v>2309</v>
      </c>
      <c r="C183" s="1093"/>
      <c r="D183" s="1093"/>
      <c r="E183" s="1745"/>
      <c r="F183" s="762"/>
      <c r="G183" s="1706"/>
    </row>
    <row r="184" spans="2:7" s="700" customFormat="1" ht="27.6" x14ac:dyDescent="0.25">
      <c r="B184" s="1364" t="s">
        <v>1975</v>
      </c>
      <c r="C184" s="1094" t="str">
        <f>C175</f>
        <v>Particulars</v>
      </c>
      <c r="D184" s="852" t="str">
        <f>D175</f>
        <v>As at Mar 31, 2023</v>
      </c>
      <c r="E184" s="1336" t="s">
        <v>2370</v>
      </c>
      <c r="F184" s="1698"/>
      <c r="G184" s="1698"/>
    </row>
    <row r="185" spans="2:7" s="700" customFormat="1" ht="13.8" x14ac:dyDescent="0.25">
      <c r="B185" s="1351"/>
      <c r="C185" s="1102" t="s">
        <v>1701</v>
      </c>
      <c r="D185" s="1099"/>
      <c r="E185" s="1370"/>
      <c r="F185" s="1109"/>
      <c r="G185" s="1109"/>
    </row>
    <row r="186" spans="2:7" s="700" customFormat="1" ht="13.8" x14ac:dyDescent="0.25">
      <c r="B186" s="1321"/>
      <c r="C186" s="1103" t="s">
        <v>1705</v>
      </c>
      <c r="D186" s="1099"/>
      <c r="E186" s="1370"/>
      <c r="F186" s="1109"/>
      <c r="G186" s="1109"/>
    </row>
    <row r="187" spans="2:7" s="700" customFormat="1" ht="13.8" x14ac:dyDescent="0.25">
      <c r="B187" s="1371">
        <v>1</v>
      </c>
      <c r="C187" s="1104" t="s">
        <v>2087</v>
      </c>
      <c r="D187" s="756">
        <f>+E187</f>
        <v>0</v>
      </c>
      <c r="E187" s="1353">
        <v>0</v>
      </c>
      <c r="F187" s="762"/>
      <c r="G187" s="762"/>
    </row>
    <row r="188" spans="2:7" s="700" customFormat="1" ht="13.8" x14ac:dyDescent="0.25">
      <c r="B188" s="1371">
        <v>2</v>
      </c>
      <c r="C188" s="1098" t="s">
        <v>1703</v>
      </c>
      <c r="D188" s="1099">
        <v>0</v>
      </c>
      <c r="E188" s="1370">
        <v>0</v>
      </c>
      <c r="F188" s="1109"/>
      <c r="G188" s="1109"/>
    </row>
    <row r="189" spans="2:7" s="700" customFormat="1" ht="13.8" x14ac:dyDescent="0.25">
      <c r="B189" s="1371">
        <f t="shared" ref="B189" si="0">B188+1</f>
        <v>3</v>
      </c>
      <c r="C189" s="1098" t="s">
        <v>266</v>
      </c>
      <c r="D189" s="756">
        <f>D176</f>
        <v>10361.989999999991</v>
      </c>
      <c r="E189" s="1353">
        <v>7511</v>
      </c>
      <c r="F189" s="762"/>
      <c r="G189" s="762"/>
    </row>
    <row r="190" spans="2:7" s="700" customFormat="1" thickBot="1" x14ac:dyDescent="0.3">
      <c r="B190" s="1365"/>
      <c r="C190" s="1105" t="s">
        <v>1699</v>
      </c>
      <c r="D190" s="1101">
        <f>SUM(D186:D189)</f>
        <v>10361.989999999991</v>
      </c>
      <c r="E190" s="1369">
        <v>7511</v>
      </c>
      <c r="F190" s="1109"/>
      <c r="G190" s="1109"/>
    </row>
    <row r="191" spans="2:7" s="700" customFormat="1" thickTop="1" x14ac:dyDescent="0.25">
      <c r="B191" s="1372"/>
      <c r="C191" s="1106"/>
      <c r="D191" s="1106"/>
      <c r="E191" s="1747"/>
    </row>
    <row r="192" spans="2:7" s="700" customFormat="1" ht="13.8" x14ac:dyDescent="0.25">
      <c r="B192" s="1318" t="s">
        <v>2310</v>
      </c>
      <c r="C192" s="702"/>
      <c r="D192" s="702"/>
      <c r="E192" s="1319"/>
      <c r="G192" s="1707"/>
    </row>
    <row r="193" spans="2:7" s="700" customFormat="1" ht="27.6" x14ac:dyDescent="0.25">
      <c r="B193" s="1373" t="s">
        <v>1975</v>
      </c>
      <c r="C193" s="1107" t="s">
        <v>215</v>
      </c>
      <c r="D193" s="1014" t="str">
        <f>D184</f>
        <v>As at Mar 31, 2023</v>
      </c>
      <c r="E193" s="1374" t="s">
        <v>2370</v>
      </c>
      <c r="F193" s="1711"/>
      <c r="G193" s="1711"/>
    </row>
    <row r="194" spans="2:7" s="700" customFormat="1" ht="13.8" x14ac:dyDescent="0.25">
      <c r="B194" s="1360"/>
      <c r="C194" s="1103" t="s">
        <v>1987</v>
      </c>
      <c r="D194" s="1090"/>
      <c r="E194" s="1361"/>
      <c r="F194" s="1709"/>
      <c r="G194" s="1710"/>
    </row>
    <row r="195" spans="2:7" s="700" customFormat="1" ht="13.8" x14ac:dyDescent="0.25">
      <c r="B195" s="1360">
        <v>1</v>
      </c>
      <c r="C195" s="1102" t="s">
        <v>1714</v>
      </c>
      <c r="D195" s="1090"/>
      <c r="E195" s="1361"/>
      <c r="F195" s="1709"/>
      <c r="G195" s="1710"/>
    </row>
    <row r="196" spans="2:7" s="700" customFormat="1" ht="13.8" x14ac:dyDescent="0.25">
      <c r="B196" s="1360"/>
      <c r="C196" s="1098" t="s">
        <v>1988</v>
      </c>
      <c r="D196" s="756">
        <v>0</v>
      </c>
      <c r="E196" s="1353">
        <v>0</v>
      </c>
      <c r="F196" s="762"/>
      <c r="G196" s="762"/>
    </row>
    <row r="197" spans="2:7" s="700" customFormat="1" ht="13.8" x14ac:dyDescent="0.25">
      <c r="B197" s="1375">
        <v>2</v>
      </c>
      <c r="C197" s="1103" t="s">
        <v>1719</v>
      </c>
      <c r="D197" s="1090"/>
      <c r="E197" s="1361"/>
      <c r="F197" s="1709"/>
      <c r="G197" s="1710"/>
    </row>
    <row r="198" spans="2:7" s="700" customFormat="1" ht="13.8" x14ac:dyDescent="0.25">
      <c r="B198" s="1360"/>
      <c r="C198" s="1098" t="s">
        <v>1715</v>
      </c>
      <c r="D198" s="756">
        <f>'Trial Balance'!R1265</f>
        <v>266990</v>
      </c>
      <c r="E198" s="1353">
        <v>0</v>
      </c>
      <c r="F198" s="762"/>
      <c r="G198" s="1712"/>
    </row>
    <row r="199" spans="2:7" s="700" customFormat="1" ht="13.8" x14ac:dyDescent="0.25">
      <c r="B199" s="1360">
        <v>3</v>
      </c>
      <c r="C199" s="1098" t="s">
        <v>1677</v>
      </c>
      <c r="D199" s="756">
        <f>SUM('Trial Balance'!R291:R292)</f>
        <v>4614200</v>
      </c>
      <c r="E199" s="1353">
        <v>0</v>
      </c>
      <c r="F199" s="762"/>
      <c r="G199" s="1710"/>
    </row>
    <row r="200" spans="2:7" s="700" customFormat="1" ht="13.8" x14ac:dyDescent="0.25">
      <c r="B200" s="1360">
        <v>4</v>
      </c>
      <c r="C200" s="1098" t="s">
        <v>1678</v>
      </c>
      <c r="D200" s="1090">
        <v>0</v>
      </c>
      <c r="E200" s="1361">
        <v>0</v>
      </c>
      <c r="F200" s="1709"/>
      <c r="G200" s="1710"/>
    </row>
    <row r="201" spans="2:7" s="700" customFormat="1" ht="13.8" x14ac:dyDescent="0.25">
      <c r="B201" s="1360">
        <v>5</v>
      </c>
      <c r="C201" s="1103" t="s">
        <v>1716</v>
      </c>
      <c r="D201" s="1090"/>
      <c r="E201" s="1361"/>
      <c r="F201" s="1709"/>
      <c r="G201" s="1710"/>
    </row>
    <row r="202" spans="2:7" s="700" customFormat="1" ht="13.8" x14ac:dyDescent="0.25">
      <c r="B202" s="1360"/>
      <c r="C202" s="1098" t="s">
        <v>1717</v>
      </c>
      <c r="D202" s="760">
        <f>'Trial Balance'!R31</f>
        <v>32817195.609999999</v>
      </c>
      <c r="E202" s="1353">
        <v>4498274.93</v>
      </c>
      <c r="F202" s="762"/>
      <c r="G202" s="762"/>
    </row>
    <row r="203" spans="2:7" s="700" customFormat="1" ht="13.8" x14ac:dyDescent="0.25">
      <c r="B203" s="1360"/>
      <c r="C203" s="1098" t="s">
        <v>1718</v>
      </c>
      <c r="D203" s="756">
        <v>0</v>
      </c>
      <c r="E203" s="1353">
        <v>0</v>
      </c>
      <c r="F203" s="762"/>
      <c r="G203" s="762"/>
    </row>
    <row r="204" spans="2:7" s="700" customFormat="1" ht="13.8" x14ac:dyDescent="0.25">
      <c r="B204" s="1360"/>
      <c r="C204" s="1098" t="s">
        <v>2088</v>
      </c>
      <c r="D204" s="756">
        <v>0</v>
      </c>
      <c r="E204" s="1353">
        <v>332471</v>
      </c>
      <c r="F204" s="762"/>
      <c r="G204" s="762"/>
    </row>
    <row r="205" spans="2:7" s="700" customFormat="1" ht="13.8" x14ac:dyDescent="0.25">
      <c r="B205" s="1360"/>
      <c r="C205" s="1098" t="s">
        <v>267</v>
      </c>
      <c r="D205" s="756">
        <f>SUM('Trial Balance'!R1266:R1268)</f>
        <v>710274</v>
      </c>
      <c r="E205" s="1353">
        <v>644793</v>
      </c>
      <c r="F205" s="762"/>
      <c r="G205" s="762"/>
    </row>
    <row r="206" spans="2:7" s="700" customFormat="1" thickBot="1" x14ac:dyDescent="0.3">
      <c r="B206" s="1362"/>
      <c r="C206" s="1100" t="s">
        <v>1679</v>
      </c>
      <c r="D206" s="1108">
        <f>SUM(D195:D205)</f>
        <v>38408659.609999999</v>
      </c>
      <c r="E206" s="1377">
        <v>5475538.9299999997</v>
      </c>
      <c r="F206" s="1711"/>
      <c r="G206" s="1711"/>
    </row>
    <row r="207" spans="2:7" s="700" customFormat="1" thickTop="1" x14ac:dyDescent="0.25">
      <c r="B207" s="1378"/>
      <c r="C207" s="1102"/>
      <c r="D207" s="1102"/>
      <c r="E207" s="1748"/>
    </row>
    <row r="208" spans="2:7" s="700" customFormat="1" ht="13.8" x14ac:dyDescent="0.25">
      <c r="B208" s="1363" t="s">
        <v>2311</v>
      </c>
      <c r="C208" s="1093"/>
      <c r="D208" s="692"/>
      <c r="E208" s="1742"/>
    </row>
    <row r="209" spans="2:7" s="700" customFormat="1" ht="27.6" x14ac:dyDescent="0.25">
      <c r="B209" s="1373" t="s">
        <v>1975</v>
      </c>
      <c r="C209" s="694" t="s">
        <v>1539</v>
      </c>
      <c r="D209" s="852" t="str">
        <f>D184</f>
        <v>As at Mar 31, 2023</v>
      </c>
      <c r="E209" s="1336" t="s">
        <v>2370</v>
      </c>
      <c r="F209" s="1698"/>
      <c r="G209" s="1698"/>
    </row>
    <row r="210" spans="2:7" s="700" customFormat="1" ht="13.8" x14ac:dyDescent="0.25">
      <c r="B210" s="1379"/>
      <c r="C210" s="711" t="s">
        <v>1709</v>
      </c>
      <c r="D210" s="880"/>
      <c r="E210" s="1367"/>
      <c r="F210" s="1698"/>
      <c r="G210" s="1698"/>
    </row>
    <row r="211" spans="2:7" s="700" customFormat="1" ht="13.8" x14ac:dyDescent="0.25">
      <c r="B211" s="1379">
        <v>1</v>
      </c>
      <c r="C211" s="1098" t="s">
        <v>1708</v>
      </c>
      <c r="D211" s="1099">
        <v>0</v>
      </c>
      <c r="E211" s="1370">
        <v>0</v>
      </c>
      <c r="F211" s="1109"/>
      <c r="G211" s="1109"/>
    </row>
    <row r="212" spans="2:7" s="700" customFormat="1" ht="13.8" x14ac:dyDescent="0.25">
      <c r="B212" s="1379">
        <v>2</v>
      </c>
      <c r="C212" s="1098" t="s">
        <v>267</v>
      </c>
      <c r="D212" s="1099">
        <v>0</v>
      </c>
      <c r="E212" s="1370">
        <v>0</v>
      </c>
      <c r="F212" s="1109"/>
      <c r="G212" s="1109"/>
    </row>
    <row r="213" spans="2:7" s="700" customFormat="1" thickBot="1" x14ac:dyDescent="0.3">
      <c r="B213" s="1358"/>
      <c r="C213" s="1100" t="s">
        <v>1710</v>
      </c>
      <c r="D213" s="1101">
        <f>SUM(D210:D212)</f>
        <v>0</v>
      </c>
      <c r="E213" s="1369">
        <v>0</v>
      </c>
      <c r="F213" s="1109"/>
      <c r="G213" s="1109"/>
    </row>
    <row r="214" spans="2:7" s="700" customFormat="1" thickTop="1" x14ac:dyDescent="0.25">
      <c r="B214" s="1350"/>
      <c r="C214" s="1102"/>
      <c r="D214" s="1102"/>
      <c r="E214" s="1748"/>
      <c r="F214" s="1109"/>
      <c r="G214" s="1109"/>
    </row>
    <row r="215" spans="2:7" s="700" customFormat="1" ht="13.8" x14ac:dyDescent="0.25">
      <c r="B215" s="1350"/>
      <c r="C215" s="1102"/>
      <c r="D215" s="1102"/>
      <c r="E215" s="1748"/>
      <c r="F215" s="1109"/>
      <c r="G215" s="1109"/>
    </row>
    <row r="216" spans="2:7" s="700" customFormat="1" ht="13.8" x14ac:dyDescent="0.25">
      <c r="B216" s="1350" t="s">
        <v>2314</v>
      </c>
      <c r="C216" s="692"/>
      <c r="D216" s="692"/>
      <c r="E216" s="1742"/>
      <c r="F216" s="762"/>
      <c r="G216" s="762"/>
    </row>
    <row r="217" spans="2:7" s="702" customFormat="1" ht="27.6" x14ac:dyDescent="0.25">
      <c r="B217" s="1320" t="s">
        <v>1975</v>
      </c>
      <c r="C217" s="1016" t="s">
        <v>215</v>
      </c>
      <c r="D217" s="1014" t="str">
        <f>D209</f>
        <v>As at Mar 31, 2023</v>
      </c>
      <c r="E217" s="1374" t="s">
        <v>2370</v>
      </c>
      <c r="F217" s="1711"/>
      <c r="G217" s="1711"/>
    </row>
    <row r="218" spans="2:7" s="700" customFormat="1" ht="13.8" x14ac:dyDescent="0.25">
      <c r="B218" s="1371"/>
      <c r="C218" s="1017" t="s">
        <v>2023</v>
      </c>
      <c r="D218" s="886"/>
      <c r="E218" s="1383"/>
      <c r="F218" s="1711"/>
      <c r="G218" s="1711"/>
    </row>
    <row r="219" spans="2:7" s="700" customFormat="1" ht="13.8" x14ac:dyDescent="0.25">
      <c r="B219" s="1381">
        <v>1</v>
      </c>
      <c r="C219" s="691" t="s">
        <v>1753</v>
      </c>
      <c r="D219" s="756">
        <v>0</v>
      </c>
      <c r="E219" s="1353">
        <v>0</v>
      </c>
      <c r="F219" s="762"/>
      <c r="G219" s="1713"/>
    </row>
    <row r="220" spans="2:7" s="700" customFormat="1" ht="13.8" x14ac:dyDescent="0.25">
      <c r="B220" s="1381">
        <v>2</v>
      </c>
      <c r="C220" s="691" t="s">
        <v>1754</v>
      </c>
      <c r="D220" s="756">
        <v>0</v>
      </c>
      <c r="E220" s="1353">
        <v>0</v>
      </c>
      <c r="F220" s="762"/>
      <c r="G220" s="1713"/>
    </row>
    <row r="221" spans="2:7" s="700" customFormat="1" ht="13.8" x14ac:dyDescent="0.25">
      <c r="B221" s="1360">
        <v>3</v>
      </c>
      <c r="C221" s="692" t="s">
        <v>1756</v>
      </c>
      <c r="D221" s="756">
        <v>0</v>
      </c>
      <c r="E221" s="1353">
        <v>0</v>
      </c>
      <c r="F221" s="762"/>
      <c r="G221" s="1713"/>
    </row>
    <row r="222" spans="2:7" s="700" customFormat="1" ht="13.8" x14ac:dyDescent="0.25">
      <c r="B222" s="1381" t="s">
        <v>1989</v>
      </c>
      <c r="C222" s="691" t="s">
        <v>452</v>
      </c>
      <c r="D222" s="756">
        <v>0</v>
      </c>
      <c r="E222" s="1353">
        <v>0</v>
      </c>
      <c r="F222" s="762"/>
      <c r="G222" s="1713"/>
    </row>
    <row r="223" spans="2:7" s="700" customFormat="1" ht="13.8" x14ac:dyDescent="0.25">
      <c r="B223" s="1381"/>
      <c r="C223" s="691" t="s">
        <v>2099</v>
      </c>
      <c r="D223" s="756"/>
      <c r="E223" s="1353"/>
      <c r="F223" s="762"/>
      <c r="G223" s="1713"/>
    </row>
    <row r="224" spans="2:7" s="700" customFormat="1" ht="13.8" x14ac:dyDescent="0.25">
      <c r="B224" s="1381"/>
      <c r="C224" s="691" t="s">
        <v>3694</v>
      </c>
      <c r="D224" s="756">
        <f>-'Trial Balance'!R18</f>
        <v>198000505</v>
      </c>
      <c r="E224" s="1353">
        <v>0</v>
      </c>
      <c r="F224" s="762"/>
      <c r="G224" s="762"/>
    </row>
    <row r="225" spans="2:8" s="700" customFormat="1" ht="13.8" x14ac:dyDescent="0.25">
      <c r="B225" s="1381" t="s">
        <v>1990</v>
      </c>
      <c r="C225" s="691" t="s">
        <v>1755</v>
      </c>
      <c r="D225" s="756">
        <v>0</v>
      </c>
      <c r="E225" s="1353">
        <v>0</v>
      </c>
      <c r="F225" s="762"/>
      <c r="G225" s="1713"/>
    </row>
    <row r="226" spans="2:8" s="700" customFormat="1" ht="13.8" x14ac:dyDescent="0.25">
      <c r="B226" s="1381" t="s">
        <v>1991</v>
      </c>
      <c r="C226" s="691" t="s">
        <v>453</v>
      </c>
      <c r="D226" s="756">
        <v>0</v>
      </c>
      <c r="E226" s="1353">
        <v>0</v>
      </c>
      <c r="F226" s="762"/>
      <c r="G226" s="762"/>
    </row>
    <row r="227" spans="2:8" s="700" customFormat="1" ht="13.8" x14ac:dyDescent="0.25">
      <c r="B227" s="1381" t="s">
        <v>1992</v>
      </c>
      <c r="C227" s="691" t="s">
        <v>496</v>
      </c>
      <c r="D227" s="756">
        <v>0</v>
      </c>
      <c r="E227" s="1353">
        <v>0</v>
      </c>
      <c r="F227" s="762"/>
      <c r="G227" s="762"/>
    </row>
    <row r="228" spans="2:8" s="700" customFormat="1" ht="13.8" x14ac:dyDescent="0.25">
      <c r="B228" s="1381" t="s">
        <v>1993</v>
      </c>
      <c r="C228" s="691" t="s">
        <v>257</v>
      </c>
      <c r="D228" s="756">
        <v>0</v>
      </c>
      <c r="E228" s="1353">
        <v>0</v>
      </c>
      <c r="F228" s="762"/>
      <c r="G228" s="762"/>
    </row>
    <row r="229" spans="2:8" s="700" customFormat="1" ht="13.8" x14ac:dyDescent="0.25">
      <c r="B229" s="1381" t="s">
        <v>1994</v>
      </c>
      <c r="C229" s="691" t="s">
        <v>1757</v>
      </c>
      <c r="D229" s="756">
        <v>0</v>
      </c>
      <c r="E229" s="1353">
        <v>0</v>
      </c>
      <c r="F229" s="762"/>
      <c r="G229" s="762"/>
    </row>
    <row r="230" spans="2:8" s="700" customFormat="1" ht="13.8" x14ac:dyDescent="0.25">
      <c r="B230" s="1381" t="s">
        <v>1995</v>
      </c>
      <c r="C230" s="854" t="s">
        <v>1758</v>
      </c>
      <c r="D230" s="756">
        <v>0</v>
      </c>
      <c r="E230" s="1353">
        <v>0</v>
      </c>
      <c r="F230" s="762"/>
      <c r="G230" s="762"/>
    </row>
    <row r="231" spans="2:8" s="700" customFormat="1" ht="13.8" x14ac:dyDescent="0.25">
      <c r="B231" s="1381" t="s">
        <v>1996</v>
      </c>
      <c r="C231" s="854" t="s">
        <v>1759</v>
      </c>
      <c r="D231" s="756">
        <v>0</v>
      </c>
      <c r="E231" s="1353">
        <v>0</v>
      </c>
      <c r="F231" s="762"/>
      <c r="G231" s="762"/>
    </row>
    <row r="232" spans="2:8" s="700" customFormat="1" ht="13.8" x14ac:dyDescent="0.25">
      <c r="B232" s="1381" t="s">
        <v>1997</v>
      </c>
      <c r="C232" s="698" t="s">
        <v>1760</v>
      </c>
      <c r="D232" s="756">
        <v>0</v>
      </c>
      <c r="E232" s="1353">
        <v>0</v>
      </c>
      <c r="F232" s="762"/>
      <c r="G232" s="762"/>
    </row>
    <row r="233" spans="2:8" s="700" customFormat="1" ht="13.8" x14ac:dyDescent="0.25">
      <c r="B233" s="1360">
        <v>4</v>
      </c>
      <c r="C233" s="696" t="s">
        <v>217</v>
      </c>
      <c r="D233" s="756"/>
      <c r="E233" s="1353"/>
      <c r="F233" s="762"/>
      <c r="G233" s="762"/>
    </row>
    <row r="234" spans="2:8" s="700" customFormat="1" ht="27.6" x14ac:dyDescent="0.25">
      <c r="B234" s="1381" t="s">
        <v>1989</v>
      </c>
      <c r="C234" s="1005" t="s">
        <v>1998</v>
      </c>
      <c r="D234" s="756">
        <f>-'Trial Balance'!R20</f>
        <v>124717285.16</v>
      </c>
      <c r="E234" s="1353">
        <v>0</v>
      </c>
      <c r="F234" s="762"/>
      <c r="G234" s="762"/>
    </row>
    <row r="235" spans="2:8" s="700" customFormat="1" ht="13.8" x14ac:dyDescent="0.25">
      <c r="B235" s="1381" t="s">
        <v>1990</v>
      </c>
      <c r="C235" s="1005" t="s">
        <v>2089</v>
      </c>
      <c r="D235" s="756">
        <v>0</v>
      </c>
      <c r="E235" s="1353">
        <v>0</v>
      </c>
      <c r="F235" s="762"/>
      <c r="G235" s="762"/>
      <c r="H235" s="1186"/>
    </row>
    <row r="236" spans="2:8" s="700" customFormat="1" thickBot="1" x14ac:dyDescent="0.3">
      <c r="B236" s="1364"/>
      <c r="C236" s="1006" t="s">
        <v>2009</v>
      </c>
      <c r="D236" s="853">
        <f>ROUND(SUM(D219:D235),0)</f>
        <v>322717790</v>
      </c>
      <c r="E236" s="1357">
        <v>0</v>
      </c>
      <c r="F236" s="761"/>
      <c r="G236" s="761"/>
    </row>
    <row r="237" spans="2:8" s="700" customFormat="1" thickTop="1" x14ac:dyDescent="0.25">
      <c r="B237" s="1351"/>
      <c r="C237" s="1017" t="s">
        <v>2007</v>
      </c>
      <c r="D237" s="876"/>
      <c r="E237" s="1396"/>
      <c r="F237" s="761"/>
      <c r="G237" s="761"/>
    </row>
    <row r="238" spans="2:8" s="700" customFormat="1" ht="13.8" x14ac:dyDescent="0.25">
      <c r="B238" s="1381">
        <v>1</v>
      </c>
      <c r="C238" s="691" t="s">
        <v>1753</v>
      </c>
      <c r="D238" s="756">
        <v>0</v>
      </c>
      <c r="E238" s="1353">
        <v>0</v>
      </c>
      <c r="F238" s="762"/>
      <c r="G238" s="1713"/>
    </row>
    <row r="239" spans="2:8" s="700" customFormat="1" ht="13.8" x14ac:dyDescent="0.25">
      <c r="B239" s="1381">
        <v>2</v>
      </c>
      <c r="C239" s="691" t="s">
        <v>1754</v>
      </c>
      <c r="D239" s="756">
        <v>0</v>
      </c>
      <c r="E239" s="1353">
        <v>0</v>
      </c>
      <c r="F239" s="762"/>
      <c r="G239" s="1713"/>
    </row>
    <row r="240" spans="2:8" s="700" customFormat="1" ht="13.8" x14ac:dyDescent="0.25">
      <c r="B240" s="1360">
        <v>3</v>
      </c>
      <c r="C240" s="692" t="s">
        <v>1756</v>
      </c>
      <c r="D240" s="756">
        <v>0</v>
      </c>
      <c r="E240" s="1353">
        <v>0</v>
      </c>
      <c r="F240" s="762"/>
      <c r="G240" s="1713"/>
    </row>
    <row r="241" spans="2:7" s="700" customFormat="1" ht="13.8" x14ac:dyDescent="0.25">
      <c r="B241" s="1381" t="s">
        <v>1989</v>
      </c>
      <c r="C241" s="691" t="s">
        <v>452</v>
      </c>
      <c r="D241" s="756">
        <v>0</v>
      </c>
      <c r="E241" s="1353">
        <v>0</v>
      </c>
      <c r="F241" s="762"/>
      <c r="G241" s="1713"/>
    </row>
    <row r="242" spans="2:7" s="700" customFormat="1" ht="13.8" x14ac:dyDescent="0.25">
      <c r="B242" s="1381" t="s">
        <v>1990</v>
      </c>
      <c r="C242" s="691" t="s">
        <v>1755</v>
      </c>
      <c r="D242" s="756">
        <v>0</v>
      </c>
      <c r="E242" s="1353">
        <v>0</v>
      </c>
      <c r="F242" s="762"/>
      <c r="G242" s="1713"/>
    </row>
    <row r="243" spans="2:7" s="700" customFormat="1" ht="13.8" x14ac:dyDescent="0.25">
      <c r="B243" s="1381" t="s">
        <v>1991</v>
      </c>
      <c r="C243" s="691" t="s">
        <v>453</v>
      </c>
      <c r="D243" s="756">
        <v>0</v>
      </c>
      <c r="E243" s="1353">
        <v>0</v>
      </c>
      <c r="F243" s="762"/>
      <c r="G243" s="762"/>
    </row>
    <row r="244" spans="2:7" s="700" customFormat="1" ht="13.8" x14ac:dyDescent="0.25">
      <c r="B244" s="1381" t="s">
        <v>1992</v>
      </c>
      <c r="C244" s="691" t="s">
        <v>496</v>
      </c>
      <c r="D244" s="756">
        <v>0</v>
      </c>
      <c r="E244" s="1353">
        <v>0</v>
      </c>
      <c r="F244" s="762"/>
      <c r="G244" s="762"/>
    </row>
    <row r="245" spans="2:7" s="700" customFormat="1" ht="13.8" x14ac:dyDescent="0.25">
      <c r="B245" s="1381" t="s">
        <v>1993</v>
      </c>
      <c r="C245" s="691" t="s">
        <v>257</v>
      </c>
      <c r="D245" s="756">
        <v>0</v>
      </c>
      <c r="E245" s="1353">
        <v>0</v>
      </c>
      <c r="F245" s="762"/>
      <c r="G245" s="762"/>
    </row>
    <row r="246" spans="2:7" s="700" customFormat="1" ht="13.8" x14ac:dyDescent="0.25">
      <c r="B246" s="1381" t="s">
        <v>1994</v>
      </c>
      <c r="C246" s="691" t="s">
        <v>1757</v>
      </c>
      <c r="D246" s="756">
        <v>0</v>
      </c>
      <c r="E246" s="1353">
        <v>0</v>
      </c>
      <c r="F246" s="762"/>
      <c r="G246" s="762"/>
    </row>
    <row r="247" spans="2:7" s="700" customFormat="1" ht="13.8" x14ac:dyDescent="0.25">
      <c r="B247" s="1381" t="s">
        <v>1995</v>
      </c>
      <c r="C247" s="854" t="s">
        <v>1758</v>
      </c>
      <c r="D247" s="756">
        <v>0</v>
      </c>
      <c r="E247" s="1353">
        <v>0</v>
      </c>
      <c r="F247" s="762"/>
      <c r="G247" s="762"/>
    </row>
    <row r="248" spans="2:7" s="700" customFormat="1" ht="13.8" x14ac:dyDescent="0.25">
      <c r="B248" s="1381" t="s">
        <v>1996</v>
      </c>
      <c r="C248" s="854" t="s">
        <v>1759</v>
      </c>
      <c r="D248" s="756">
        <v>0</v>
      </c>
      <c r="E248" s="1353">
        <v>0</v>
      </c>
      <c r="F248" s="762"/>
      <c r="G248" s="762"/>
    </row>
    <row r="249" spans="2:7" s="700" customFormat="1" ht="13.8" x14ac:dyDescent="0.25">
      <c r="B249" s="1381" t="s">
        <v>1997</v>
      </c>
      <c r="C249" s="698" t="s">
        <v>1760</v>
      </c>
      <c r="D249" s="756">
        <v>0</v>
      </c>
      <c r="E249" s="1353">
        <v>0</v>
      </c>
      <c r="F249" s="762"/>
      <c r="G249" s="762"/>
    </row>
    <row r="250" spans="2:7" s="700" customFormat="1" ht="13.8" x14ac:dyDescent="0.25">
      <c r="B250" s="1360">
        <v>4</v>
      </c>
      <c r="C250" s="696" t="s">
        <v>217</v>
      </c>
      <c r="D250" s="756"/>
      <c r="E250" s="1353"/>
      <c r="F250" s="762"/>
      <c r="G250" s="762"/>
    </row>
    <row r="251" spans="2:7" s="700" customFormat="1" ht="13.8" x14ac:dyDescent="0.25">
      <c r="B251" s="1381"/>
      <c r="C251" s="1005" t="s">
        <v>2144</v>
      </c>
      <c r="D251" s="756">
        <v>0</v>
      </c>
      <c r="E251" s="1353">
        <v>0</v>
      </c>
      <c r="F251" s="762"/>
      <c r="G251" s="762"/>
    </row>
    <row r="252" spans="2:7" s="700" customFormat="1" ht="13.8" x14ac:dyDescent="0.25">
      <c r="B252" s="1360">
        <v>5</v>
      </c>
      <c r="C252" s="1180" t="s">
        <v>2090</v>
      </c>
      <c r="D252" s="756"/>
      <c r="E252" s="1353"/>
      <c r="F252" s="762"/>
      <c r="G252" s="762"/>
    </row>
    <row r="253" spans="2:7" s="700" customFormat="1" ht="13.8" x14ac:dyDescent="0.25">
      <c r="B253" s="1381" t="s">
        <v>1989</v>
      </c>
      <c r="C253" s="1005" t="s">
        <v>2091</v>
      </c>
      <c r="D253" s="756">
        <v>0</v>
      </c>
      <c r="E253" s="1353">
        <v>0</v>
      </c>
      <c r="F253" s="762"/>
      <c r="G253" s="762"/>
    </row>
    <row r="254" spans="2:7" s="700" customFormat="1" ht="27.6" x14ac:dyDescent="0.25">
      <c r="B254" s="1381"/>
      <c r="C254" s="1005" t="s">
        <v>2145</v>
      </c>
      <c r="D254" s="756"/>
      <c r="E254" s="1353"/>
      <c r="F254" s="762"/>
      <c r="G254" s="762"/>
    </row>
    <row r="255" spans="2:7" s="700" customFormat="1" thickBot="1" x14ac:dyDescent="0.3">
      <c r="B255" s="1364"/>
      <c r="C255" s="1006" t="s">
        <v>2009</v>
      </c>
      <c r="D255" s="853">
        <f>ROUND(SUM(D238:D253),0)</f>
        <v>0</v>
      </c>
      <c r="E255" s="1357">
        <v>0</v>
      </c>
      <c r="F255" s="761"/>
      <c r="G255" s="761"/>
    </row>
    <row r="256" spans="2:7" s="700" customFormat="1" thickTop="1" x14ac:dyDescent="0.25">
      <c r="B256" s="1343"/>
      <c r="E256" s="1335"/>
    </row>
    <row r="257" spans="2:7" s="700" customFormat="1" ht="13.8" hidden="1" x14ac:dyDescent="0.25">
      <c r="B257" s="1318" t="s">
        <v>2024</v>
      </c>
      <c r="E257" s="1335"/>
    </row>
    <row r="258" spans="2:7" s="700" customFormat="1" ht="13.8" hidden="1" x14ac:dyDescent="0.25">
      <c r="B258" s="1382" t="s">
        <v>1975</v>
      </c>
      <c r="C258" s="1110" t="s">
        <v>1539</v>
      </c>
      <c r="D258" s="1110"/>
      <c r="E258" s="1749"/>
      <c r="F258" s="1711"/>
      <c r="G258" s="1711"/>
    </row>
    <row r="259" spans="2:7" s="700" customFormat="1" ht="13.8" hidden="1" x14ac:dyDescent="0.25">
      <c r="B259" s="1328"/>
      <c r="C259" s="702" t="s">
        <v>1752</v>
      </c>
      <c r="D259" s="702"/>
      <c r="E259" s="1319"/>
      <c r="F259" s="1711"/>
      <c r="G259" s="1711"/>
    </row>
    <row r="260" spans="2:7" s="700" customFormat="1" ht="13.8" hidden="1" x14ac:dyDescent="0.25">
      <c r="B260" s="1328"/>
      <c r="C260" s="700" t="s">
        <v>1999</v>
      </c>
      <c r="E260" s="1335"/>
    </row>
    <row r="261" spans="2:7" s="700" customFormat="1" ht="13.8" hidden="1" x14ac:dyDescent="0.25">
      <c r="B261" s="1328"/>
      <c r="C261" s="700" t="s">
        <v>2000</v>
      </c>
      <c r="E261" s="1335"/>
    </row>
    <row r="262" spans="2:7" s="700" customFormat="1" ht="13.8" hidden="1" x14ac:dyDescent="0.25">
      <c r="B262" s="1328"/>
      <c r="E262" s="1335"/>
    </row>
    <row r="263" spans="2:7" s="700" customFormat="1" ht="13.8" hidden="1" x14ac:dyDescent="0.25">
      <c r="B263" s="1328"/>
      <c r="C263" s="698" t="s">
        <v>1760</v>
      </c>
      <c r="D263" s="698"/>
      <c r="E263" s="1750"/>
      <c r="F263" s="1325"/>
    </row>
    <row r="264" spans="2:7" s="700" customFormat="1" ht="13.8" hidden="1" x14ac:dyDescent="0.25">
      <c r="B264" s="1328"/>
      <c r="E264" s="1335"/>
    </row>
    <row r="265" spans="2:7" s="700" customFormat="1" ht="13.8" hidden="1" x14ac:dyDescent="0.25">
      <c r="B265" s="1341"/>
      <c r="C265" s="1111"/>
      <c r="D265" s="1111"/>
      <c r="E265" s="1751"/>
    </row>
    <row r="266" spans="2:7" s="700" customFormat="1" ht="13.8" hidden="1" x14ac:dyDescent="0.25">
      <c r="B266" s="1343"/>
      <c r="E266" s="1335"/>
    </row>
    <row r="267" spans="2:7" s="702" customFormat="1" ht="13.8" hidden="1" x14ac:dyDescent="0.25">
      <c r="B267" s="1339" t="s">
        <v>1975</v>
      </c>
      <c r="C267" s="1078" t="s">
        <v>1539</v>
      </c>
      <c r="D267" s="1078"/>
      <c r="E267" s="1752"/>
      <c r="F267" s="1711"/>
      <c r="G267" s="1711"/>
    </row>
    <row r="268" spans="2:7" s="700" customFormat="1" ht="13.8" hidden="1" x14ac:dyDescent="0.25">
      <c r="B268" s="1328"/>
      <c r="C268" s="702" t="s">
        <v>450</v>
      </c>
      <c r="D268" s="702"/>
      <c r="E268" s="1319"/>
      <c r="F268" s="1711"/>
      <c r="G268" s="1711"/>
    </row>
    <row r="269" spans="2:7" s="700" customFormat="1" ht="13.8" hidden="1" x14ac:dyDescent="0.25">
      <c r="B269" s="1328"/>
      <c r="C269" s="702" t="s">
        <v>452</v>
      </c>
      <c r="D269" s="702"/>
      <c r="E269" s="1319"/>
      <c r="F269" s="1711"/>
      <c r="G269" s="1711"/>
    </row>
    <row r="270" spans="2:7" s="700" customFormat="1" ht="13.8" hidden="1" x14ac:dyDescent="0.25">
      <c r="B270" s="1328"/>
      <c r="C270" s="700" t="s">
        <v>1999</v>
      </c>
      <c r="E270" s="1335"/>
    </row>
    <row r="271" spans="2:7" s="700" customFormat="1" ht="13.8" hidden="1" x14ac:dyDescent="0.25">
      <c r="B271" s="1328"/>
      <c r="C271" s="700" t="s">
        <v>2000</v>
      </c>
      <c r="E271" s="1335"/>
      <c r="F271" s="1325"/>
    </row>
    <row r="272" spans="2:7" s="700" customFormat="1" ht="13.8" hidden="1" x14ac:dyDescent="0.25">
      <c r="B272" s="1328"/>
      <c r="C272" s="698" t="s">
        <v>1760</v>
      </c>
      <c r="D272" s="698"/>
      <c r="E272" s="1750"/>
      <c r="F272" s="1325"/>
    </row>
    <row r="273" spans="2:7" s="700" customFormat="1" ht="13.8" hidden="1" x14ac:dyDescent="0.25">
      <c r="B273" s="1328"/>
      <c r="E273" s="1335"/>
    </row>
    <row r="274" spans="2:7" s="700" customFormat="1" ht="13.8" hidden="1" x14ac:dyDescent="0.25">
      <c r="B274" s="1328"/>
      <c r="C274" s="702" t="s">
        <v>1755</v>
      </c>
      <c r="D274" s="702"/>
      <c r="E274" s="1319"/>
    </row>
    <row r="275" spans="2:7" s="700" customFormat="1" ht="13.8" hidden="1" x14ac:dyDescent="0.25">
      <c r="B275" s="1328"/>
      <c r="C275" s="1112" t="s">
        <v>2001</v>
      </c>
      <c r="D275" s="1112"/>
      <c r="E275" s="1714"/>
      <c r="F275" s="1325"/>
    </row>
    <row r="276" spans="2:7" s="700" customFormat="1" ht="13.8" hidden="1" x14ac:dyDescent="0.25">
      <c r="B276" s="1341"/>
      <c r="C276" s="1111"/>
      <c r="D276" s="1111"/>
      <c r="E276" s="1751"/>
    </row>
    <row r="277" spans="2:7" s="700" customFormat="1" ht="13.8" x14ac:dyDescent="0.25">
      <c r="B277" s="1343"/>
      <c r="E277" s="1335"/>
    </row>
    <row r="278" spans="2:7" s="700" customFormat="1" ht="13.8" x14ac:dyDescent="0.25">
      <c r="B278" s="1350" t="s">
        <v>2315</v>
      </c>
      <c r="C278" s="692"/>
      <c r="D278" s="692"/>
      <c r="E278" s="1742"/>
      <c r="F278" s="762"/>
      <c r="G278" s="762"/>
    </row>
    <row r="279" spans="2:7" s="702" customFormat="1" ht="27.6" x14ac:dyDescent="0.25">
      <c r="B279" s="1384" t="s">
        <v>1975</v>
      </c>
      <c r="C279" s="1007" t="s">
        <v>215</v>
      </c>
      <c r="D279" s="852" t="str">
        <f>D217</f>
        <v>As at Mar 31, 2023</v>
      </c>
      <c r="E279" s="1336" t="s">
        <v>2370</v>
      </c>
      <c r="F279" s="1698"/>
      <c r="G279" s="1698"/>
    </row>
    <row r="280" spans="2:7" s="702" customFormat="1" ht="13.8" x14ac:dyDescent="0.25">
      <c r="B280" s="1385"/>
      <c r="C280" s="1018" t="s">
        <v>2008</v>
      </c>
      <c r="D280" s="1437"/>
      <c r="E280" s="1367"/>
      <c r="F280" s="1698"/>
      <c r="G280" s="1698"/>
    </row>
    <row r="281" spans="2:7" s="700" customFormat="1" ht="13.8" x14ac:dyDescent="0.25">
      <c r="B281" s="1386" t="s">
        <v>1976</v>
      </c>
      <c r="C281" s="1008" t="s">
        <v>455</v>
      </c>
      <c r="D281" s="1438"/>
      <c r="E281" s="1332"/>
      <c r="F281" s="1703"/>
      <c r="G281" s="1703"/>
    </row>
    <row r="282" spans="2:7" s="700" customFormat="1" ht="13.8" x14ac:dyDescent="0.25">
      <c r="B282" s="1387"/>
      <c r="C282" s="1009" t="s">
        <v>456</v>
      </c>
      <c r="D282" s="1438">
        <v>0</v>
      </c>
      <c r="E282" s="1332">
        <v>0</v>
      </c>
      <c r="F282" s="1703"/>
      <c r="G282" s="1703"/>
    </row>
    <row r="283" spans="2:7" s="700" customFormat="1" ht="27.6" x14ac:dyDescent="0.25">
      <c r="B283" s="1387"/>
      <c r="C283" s="1010" t="s">
        <v>457</v>
      </c>
      <c r="D283" s="1438">
        <v>0</v>
      </c>
      <c r="E283" s="1332">
        <v>0</v>
      </c>
      <c r="F283" s="1703"/>
      <c r="G283" s="1703"/>
    </row>
    <row r="284" spans="2:7" s="700" customFormat="1" ht="13.8" x14ac:dyDescent="0.25">
      <c r="B284" s="1387"/>
      <c r="C284" s="1008" t="s">
        <v>1791</v>
      </c>
      <c r="D284" s="1438">
        <v>0</v>
      </c>
      <c r="E284" s="1332">
        <v>0</v>
      </c>
      <c r="F284" s="1703"/>
      <c r="G284" s="1703"/>
    </row>
    <row r="285" spans="2:7" s="700" customFormat="1" ht="13.8" x14ac:dyDescent="0.25">
      <c r="B285" s="1386" t="s">
        <v>1977</v>
      </c>
      <c r="C285" s="1008" t="s">
        <v>455</v>
      </c>
      <c r="D285" s="1438"/>
      <c r="E285" s="1332"/>
      <c r="F285" s="1703"/>
      <c r="G285" s="1703"/>
    </row>
    <row r="286" spans="2:7" s="700" customFormat="1" ht="13.8" x14ac:dyDescent="0.25">
      <c r="B286" s="1387"/>
      <c r="C286" s="1009" t="s">
        <v>456</v>
      </c>
      <c r="D286" s="1438">
        <v>0</v>
      </c>
      <c r="E286" s="1332">
        <v>0</v>
      </c>
      <c r="F286" s="1703"/>
      <c r="G286" s="1703"/>
    </row>
    <row r="287" spans="2:7" s="700" customFormat="1" ht="27.6" x14ac:dyDescent="0.25">
      <c r="B287" s="1388"/>
      <c r="C287" s="1011" t="s">
        <v>457</v>
      </c>
      <c r="D287" s="1439">
        <v>0</v>
      </c>
      <c r="E287" s="1333">
        <v>0</v>
      </c>
      <c r="F287" s="1703"/>
      <c r="G287" s="1703"/>
    </row>
    <row r="288" spans="2:7" s="702" customFormat="1" ht="13.8" x14ac:dyDescent="0.25">
      <c r="B288" s="1389"/>
      <c r="C288" s="1113" t="s">
        <v>213</v>
      </c>
      <c r="D288" s="1116">
        <f>SUM(D281:D287)</f>
        <v>0</v>
      </c>
      <c r="E288" s="1397">
        <v>0</v>
      </c>
      <c r="F288" s="1702"/>
      <c r="G288" s="1702"/>
    </row>
    <row r="289" spans="2:7" s="702" customFormat="1" ht="13.8" x14ac:dyDescent="0.25">
      <c r="B289" s="1385"/>
      <c r="C289" s="1018" t="s">
        <v>2007</v>
      </c>
      <c r="D289" s="1437"/>
      <c r="E289" s="1367"/>
      <c r="F289" s="1698"/>
      <c r="G289" s="1698"/>
    </row>
    <row r="290" spans="2:7" s="700" customFormat="1" ht="13.8" x14ac:dyDescent="0.25">
      <c r="B290" s="1386" t="s">
        <v>1976</v>
      </c>
      <c r="C290" s="1008" t="s">
        <v>455</v>
      </c>
      <c r="D290" s="1438"/>
      <c r="E290" s="1332"/>
      <c r="F290" s="1703"/>
      <c r="G290" s="1703"/>
    </row>
    <row r="291" spans="2:7" s="700" customFormat="1" ht="13.8" x14ac:dyDescent="0.25">
      <c r="B291" s="1387"/>
      <c r="C291" s="1009" t="s">
        <v>456</v>
      </c>
      <c r="D291" s="1438">
        <v>0</v>
      </c>
      <c r="E291" s="1332">
        <v>0</v>
      </c>
      <c r="F291" s="1703"/>
      <c r="G291" s="1703"/>
    </row>
    <row r="292" spans="2:7" s="700" customFormat="1" ht="27.6" x14ac:dyDescent="0.25">
      <c r="B292" s="1387"/>
      <c r="C292" s="1010" t="s">
        <v>457</v>
      </c>
      <c r="D292" s="1438">
        <v>0</v>
      </c>
      <c r="E292" s="1332">
        <v>0</v>
      </c>
      <c r="F292" s="1703"/>
      <c r="G292" s="1703"/>
    </row>
    <row r="293" spans="2:7" s="700" customFormat="1" ht="13.8" x14ac:dyDescent="0.25">
      <c r="B293" s="1387"/>
      <c r="C293" s="1008" t="s">
        <v>1791</v>
      </c>
      <c r="D293" s="1438">
        <v>0</v>
      </c>
      <c r="E293" s="1332">
        <v>0</v>
      </c>
      <c r="F293" s="1703"/>
      <c r="G293" s="1703"/>
    </row>
    <row r="294" spans="2:7" s="700" customFormat="1" ht="13.8" x14ac:dyDescent="0.25">
      <c r="B294" s="1386" t="s">
        <v>1977</v>
      </c>
      <c r="C294" s="1008" t="s">
        <v>455</v>
      </c>
      <c r="D294" s="1438"/>
      <c r="E294" s="1332"/>
      <c r="F294" s="1703"/>
      <c r="G294" s="1703"/>
    </row>
    <row r="295" spans="2:7" s="700" customFormat="1" ht="13.8" x14ac:dyDescent="0.25">
      <c r="B295" s="1387"/>
      <c r="C295" s="1009" t="s">
        <v>456</v>
      </c>
      <c r="D295" s="1438">
        <v>0</v>
      </c>
      <c r="E295" s="1332">
        <v>0</v>
      </c>
      <c r="F295" s="1703"/>
      <c r="G295" s="1703"/>
    </row>
    <row r="296" spans="2:7" s="700" customFormat="1" ht="27.6" x14ac:dyDescent="0.25">
      <c r="B296" s="1388"/>
      <c r="C296" s="1011" t="s">
        <v>457</v>
      </c>
      <c r="D296" s="1550">
        <v>0</v>
      </c>
      <c r="E296" s="1753">
        <v>167924.6</v>
      </c>
      <c r="F296" s="1703"/>
      <c r="G296" s="1703"/>
    </row>
    <row r="297" spans="2:7" s="702" customFormat="1" ht="13.8" x14ac:dyDescent="0.25">
      <c r="B297" s="1389"/>
      <c r="C297" s="1077" t="s">
        <v>213</v>
      </c>
      <c r="D297" s="1781">
        <f>SUM(D290:D296)</f>
        <v>0</v>
      </c>
      <c r="E297" s="1754">
        <v>167924.6</v>
      </c>
      <c r="F297" s="1702"/>
      <c r="G297" s="1702"/>
    </row>
    <row r="298" spans="2:7" s="700" customFormat="1" ht="42" customHeight="1" x14ac:dyDescent="0.25">
      <c r="B298" s="1993" t="s">
        <v>2073</v>
      </c>
      <c r="C298" s="1994"/>
      <c r="D298" s="1994"/>
      <c r="E298" s="1995"/>
      <c r="F298" s="1112"/>
      <c r="G298" s="1112"/>
    </row>
    <row r="299" spans="2:7" s="700" customFormat="1" ht="13.8" x14ac:dyDescent="0.25">
      <c r="B299" s="1343"/>
      <c r="E299" s="1335"/>
    </row>
    <row r="300" spans="2:7" s="700" customFormat="1" ht="27.6" x14ac:dyDescent="0.25">
      <c r="B300" s="1382" t="s">
        <v>1975</v>
      </c>
      <c r="C300" s="897" t="s">
        <v>1539</v>
      </c>
      <c r="D300" s="898" t="str">
        <f>D279</f>
        <v>As at Mar 31, 2023</v>
      </c>
      <c r="E300" s="1390" t="s">
        <v>2370</v>
      </c>
      <c r="F300" s="1716"/>
      <c r="G300" s="1716"/>
    </row>
    <row r="301" spans="2:7" s="700" customFormat="1" ht="27.6" x14ac:dyDescent="0.25">
      <c r="B301" s="1382"/>
      <c r="C301" s="895" t="s">
        <v>1828</v>
      </c>
      <c r="D301" s="896">
        <f>D288</f>
        <v>0</v>
      </c>
      <c r="E301" s="1391">
        <v>0</v>
      </c>
      <c r="F301" s="1717"/>
      <c r="G301" s="1717"/>
    </row>
    <row r="302" spans="2:7" s="700" customFormat="1" ht="27.6" x14ac:dyDescent="0.25">
      <c r="B302" s="1382"/>
      <c r="C302" s="895" t="s">
        <v>1830</v>
      </c>
      <c r="D302" s="899">
        <v>0</v>
      </c>
      <c r="E302" s="1392">
        <v>0</v>
      </c>
      <c r="F302" s="1012"/>
      <c r="G302" s="1012"/>
    </row>
    <row r="303" spans="2:7" s="700" customFormat="1" ht="41.4" x14ac:dyDescent="0.25">
      <c r="B303" s="1382"/>
      <c r="C303" s="895" t="s">
        <v>1831</v>
      </c>
      <c r="D303" s="899">
        <v>0</v>
      </c>
      <c r="E303" s="1392">
        <v>0</v>
      </c>
      <c r="F303" s="1012"/>
      <c r="G303" s="1012"/>
    </row>
    <row r="304" spans="2:7" s="700" customFormat="1" ht="55.2" x14ac:dyDescent="0.25">
      <c r="B304" s="1382"/>
      <c r="C304" s="895" t="s">
        <v>1832</v>
      </c>
      <c r="D304" s="899">
        <v>0</v>
      </c>
      <c r="E304" s="1392">
        <v>0</v>
      </c>
      <c r="F304" s="1012"/>
      <c r="G304" s="1012"/>
    </row>
    <row r="305" spans="1:7" s="700" customFormat="1" ht="27.6" x14ac:dyDescent="0.25">
      <c r="B305" s="1382"/>
      <c r="C305" s="899" t="s">
        <v>1833</v>
      </c>
      <c r="D305" s="899">
        <v>0</v>
      </c>
      <c r="E305" s="1392">
        <v>0</v>
      </c>
      <c r="F305" s="1012"/>
      <c r="G305" s="1012"/>
    </row>
    <row r="306" spans="1:7" s="700" customFormat="1" ht="27.6" x14ac:dyDescent="0.25">
      <c r="B306" s="1382"/>
      <c r="C306" s="895" t="s">
        <v>1834</v>
      </c>
      <c r="D306" s="899">
        <v>0</v>
      </c>
      <c r="E306" s="1392">
        <v>0</v>
      </c>
      <c r="F306" s="1012"/>
      <c r="G306" s="1012"/>
    </row>
    <row r="307" spans="1:7" s="700" customFormat="1" ht="13.8" x14ac:dyDescent="0.25">
      <c r="B307" s="1343"/>
      <c r="C307" s="891"/>
      <c r="D307" s="891"/>
      <c r="E307" s="1755"/>
      <c r="F307" s="1012"/>
      <c r="G307" s="1012"/>
    </row>
    <row r="308" spans="1:7" s="700" customFormat="1" ht="13.8" x14ac:dyDescent="0.25">
      <c r="A308" s="691"/>
      <c r="B308" s="1350" t="s">
        <v>2316</v>
      </c>
      <c r="C308" s="692"/>
      <c r="D308" s="692"/>
      <c r="E308" s="1742"/>
      <c r="F308" s="762"/>
      <c r="G308" s="762"/>
    </row>
    <row r="309" spans="1:7" s="700" customFormat="1" ht="27.6" x14ac:dyDescent="0.25">
      <c r="A309" s="691"/>
      <c r="B309" s="1393" t="s">
        <v>1975</v>
      </c>
      <c r="C309" s="1021"/>
      <c r="D309" s="852" t="str">
        <f>D300</f>
        <v>As at Mar 31, 2023</v>
      </c>
      <c r="E309" s="1336" t="s">
        <v>2370</v>
      </c>
      <c r="F309" s="1698"/>
      <c r="G309" s="1698"/>
    </row>
    <row r="310" spans="1:7" s="700" customFormat="1" ht="13.8" x14ac:dyDescent="0.25">
      <c r="A310" s="691"/>
      <c r="B310" s="1371"/>
      <c r="C310" s="1017" t="s">
        <v>2008</v>
      </c>
      <c r="D310" s="880"/>
      <c r="E310" s="1367"/>
      <c r="F310" s="1698"/>
      <c r="G310" s="1698"/>
    </row>
    <row r="311" spans="1:7" s="700" customFormat="1" ht="13.8" x14ac:dyDescent="0.25">
      <c r="A311" s="691"/>
      <c r="B311" s="1371">
        <v>1</v>
      </c>
      <c r="C311" s="691" t="s">
        <v>1782</v>
      </c>
      <c r="D311" s="880"/>
      <c r="E311" s="1367"/>
      <c r="F311" s="1698"/>
      <c r="G311" s="1698"/>
    </row>
    <row r="312" spans="1:7" s="700" customFormat="1" ht="13.8" x14ac:dyDescent="0.25">
      <c r="A312" s="691"/>
      <c r="B312" s="1351">
        <v>4</v>
      </c>
      <c r="C312" s="883" t="s">
        <v>2002</v>
      </c>
      <c r="D312" s="756"/>
      <c r="E312" s="1353"/>
      <c r="F312" s="762"/>
      <c r="G312" s="762"/>
    </row>
    <row r="313" spans="1:7" s="700" customFormat="1" ht="13.8" x14ac:dyDescent="0.25">
      <c r="A313" s="691"/>
      <c r="B313" s="1381" t="s">
        <v>1989</v>
      </c>
      <c r="C313" s="691" t="s">
        <v>1784</v>
      </c>
      <c r="D313" s="756">
        <v>0</v>
      </c>
      <c r="E313" s="1353">
        <v>0</v>
      </c>
      <c r="F313" s="762"/>
      <c r="G313" s="762"/>
    </row>
    <row r="314" spans="1:7" s="700" customFormat="1" ht="13.8" x14ac:dyDescent="0.25">
      <c r="A314" s="691"/>
      <c r="B314" s="1381" t="s">
        <v>1990</v>
      </c>
      <c r="C314" s="691" t="s">
        <v>1785</v>
      </c>
      <c r="D314" s="756">
        <v>0</v>
      </c>
      <c r="E314" s="1353">
        <v>0</v>
      </c>
      <c r="F314" s="762"/>
      <c r="G314" s="762"/>
    </row>
    <row r="315" spans="1:7" s="700" customFormat="1" ht="13.8" x14ac:dyDescent="0.25">
      <c r="A315" s="691"/>
      <c r="B315" s="1381" t="s">
        <v>1991</v>
      </c>
      <c r="C315" s="691" t="s">
        <v>1786</v>
      </c>
      <c r="D315" s="756">
        <v>0</v>
      </c>
      <c r="E315" s="1353">
        <v>0</v>
      </c>
      <c r="F315" s="762"/>
      <c r="G315" s="762"/>
    </row>
    <row r="316" spans="1:7" s="700" customFormat="1" ht="13.8" x14ac:dyDescent="0.25">
      <c r="A316" s="691"/>
      <c r="B316" s="1381" t="s">
        <v>1992</v>
      </c>
      <c r="C316" s="691" t="s">
        <v>1787</v>
      </c>
      <c r="D316" s="756">
        <v>0</v>
      </c>
      <c r="E316" s="1353">
        <v>0</v>
      </c>
      <c r="F316" s="762"/>
      <c r="G316" s="762"/>
    </row>
    <row r="317" spans="1:7" s="700" customFormat="1" ht="13.8" x14ac:dyDescent="0.25">
      <c r="A317" s="691"/>
      <c r="B317" s="1381" t="s">
        <v>1993</v>
      </c>
      <c r="C317" s="691" t="s">
        <v>1788</v>
      </c>
      <c r="D317" s="756">
        <v>0</v>
      </c>
      <c r="E317" s="1353">
        <v>0</v>
      </c>
      <c r="F317" s="762"/>
      <c r="G317" s="762"/>
    </row>
    <row r="318" spans="1:7" s="700" customFormat="1" thickBot="1" x14ac:dyDescent="0.3">
      <c r="A318" s="691"/>
      <c r="B318" s="1364"/>
      <c r="C318" s="1006" t="s">
        <v>213</v>
      </c>
      <c r="D318" s="853"/>
      <c r="E318" s="1357"/>
      <c r="F318" s="761"/>
      <c r="G318" s="761"/>
    </row>
    <row r="319" spans="1:7" s="700" customFormat="1" thickTop="1" x14ac:dyDescent="0.25">
      <c r="A319" s="691"/>
      <c r="B319" s="1371"/>
      <c r="C319" s="870" t="s">
        <v>450</v>
      </c>
      <c r="D319" s="880"/>
      <c r="E319" s="1367"/>
      <c r="F319" s="1698"/>
      <c r="G319" s="1698"/>
    </row>
    <row r="320" spans="1:7" s="700" customFormat="1" ht="13.8" x14ac:dyDescent="0.25">
      <c r="A320" s="691"/>
      <c r="B320" s="1351">
        <v>1</v>
      </c>
      <c r="C320" s="691" t="s">
        <v>1780</v>
      </c>
      <c r="D320" s="756">
        <v>0</v>
      </c>
      <c r="E320" s="1353">
        <v>0</v>
      </c>
      <c r="F320" s="762"/>
      <c r="G320" s="762"/>
    </row>
    <row r="321" spans="1:7" s="700" customFormat="1" ht="13.8" x14ac:dyDescent="0.25">
      <c r="A321" s="691"/>
      <c r="B321" s="1351">
        <v>2</v>
      </c>
      <c r="C321" s="691" t="s">
        <v>1781</v>
      </c>
      <c r="D321" s="756">
        <v>0</v>
      </c>
      <c r="E321" s="1353">
        <v>0</v>
      </c>
      <c r="F321" s="762"/>
      <c r="G321" s="762"/>
    </row>
    <row r="322" spans="1:7" s="700" customFormat="1" ht="13.8" x14ac:dyDescent="0.25">
      <c r="A322" s="691"/>
      <c r="B322" s="1351">
        <v>3</v>
      </c>
      <c r="C322" s="691" t="s">
        <v>1782</v>
      </c>
      <c r="D322" s="756">
        <v>0</v>
      </c>
      <c r="E322" s="1353">
        <v>0</v>
      </c>
      <c r="F322" s="762"/>
      <c r="G322" s="762"/>
    </row>
    <row r="323" spans="1:7" s="700" customFormat="1" ht="13.8" x14ac:dyDescent="0.25">
      <c r="A323" s="691"/>
      <c r="B323" s="1351">
        <v>4</v>
      </c>
      <c r="C323" s="883" t="s">
        <v>2002</v>
      </c>
      <c r="D323" s="756"/>
      <c r="E323" s="1353"/>
      <c r="F323" s="762"/>
      <c r="G323" s="762"/>
    </row>
    <row r="324" spans="1:7" s="700" customFormat="1" ht="13.8" x14ac:dyDescent="0.25">
      <c r="A324" s="691"/>
      <c r="B324" s="1381" t="s">
        <v>1989</v>
      </c>
      <c r="C324" s="691" t="s">
        <v>1784</v>
      </c>
      <c r="D324" s="756">
        <v>0</v>
      </c>
      <c r="E324" s="1353">
        <v>0</v>
      </c>
      <c r="F324" s="762"/>
      <c r="G324" s="762"/>
    </row>
    <row r="325" spans="1:7" s="700" customFormat="1" ht="13.8" x14ac:dyDescent="0.25">
      <c r="A325" s="691"/>
      <c r="B325" s="1381" t="s">
        <v>1990</v>
      </c>
      <c r="C325" s="691" t="s">
        <v>1785</v>
      </c>
      <c r="D325" s="756">
        <f>'Capital expenses and normal'!R50</f>
        <v>12800384.170000002</v>
      </c>
      <c r="E325" s="1353">
        <v>0</v>
      </c>
      <c r="F325" s="762"/>
      <c r="G325" s="762"/>
    </row>
    <row r="326" spans="1:7" s="700" customFormat="1" ht="13.8" x14ac:dyDescent="0.25">
      <c r="A326" s="691"/>
      <c r="B326" s="1381" t="s">
        <v>1991</v>
      </c>
      <c r="C326" s="691" t="s">
        <v>1786</v>
      </c>
      <c r="D326" s="756">
        <v>0</v>
      </c>
      <c r="E326" s="1353">
        <v>0</v>
      </c>
      <c r="F326" s="762"/>
      <c r="G326" s="762"/>
    </row>
    <row r="327" spans="1:7" s="700" customFormat="1" ht="13.8" x14ac:dyDescent="0.25">
      <c r="A327" s="691"/>
      <c r="B327" s="1381" t="s">
        <v>1992</v>
      </c>
      <c r="C327" s="691" t="s">
        <v>1787</v>
      </c>
      <c r="D327" s="756">
        <v>0</v>
      </c>
      <c r="E327" s="1353">
        <v>0</v>
      </c>
      <c r="F327" s="762"/>
      <c r="G327" s="762"/>
    </row>
    <row r="328" spans="1:7" s="700" customFormat="1" ht="13.8" x14ac:dyDescent="0.25">
      <c r="A328" s="691"/>
      <c r="B328" s="1381" t="s">
        <v>1993</v>
      </c>
      <c r="C328" s="691" t="s">
        <v>1788</v>
      </c>
      <c r="D328" s="756">
        <v>0</v>
      </c>
      <c r="E328" s="1353">
        <v>0</v>
      </c>
      <c r="F328" s="762"/>
      <c r="G328" s="762"/>
    </row>
    <row r="329" spans="1:7" s="700" customFormat="1" thickBot="1" x14ac:dyDescent="0.3">
      <c r="A329" s="691"/>
      <c r="B329" s="1364"/>
      <c r="C329" s="1006" t="s">
        <v>2009</v>
      </c>
      <c r="D329" s="853">
        <f>ROUND(SUM(D320:D328),0)</f>
        <v>12800384</v>
      </c>
      <c r="E329" s="1357">
        <v>0</v>
      </c>
      <c r="F329" s="761"/>
      <c r="G329" s="761"/>
    </row>
    <row r="330" spans="1:7" s="700" customFormat="1" thickTop="1" x14ac:dyDescent="0.25">
      <c r="A330" s="691"/>
      <c r="B330" s="1372"/>
      <c r="C330" s="706"/>
      <c r="D330" s="706"/>
      <c r="E330" s="1756"/>
      <c r="F330" s="761"/>
      <c r="G330" s="761"/>
    </row>
    <row r="331" spans="1:7" s="700" customFormat="1" ht="13.8" x14ac:dyDescent="0.25">
      <c r="B331" s="1350" t="s">
        <v>2317</v>
      </c>
      <c r="C331" s="692"/>
      <c r="D331" s="692"/>
      <c r="E331" s="1742"/>
      <c r="F331" s="762"/>
      <c r="G331" s="762"/>
    </row>
    <row r="332" spans="1:7" s="702" customFormat="1" ht="27.6" x14ac:dyDescent="0.25">
      <c r="B332" s="1320" t="s">
        <v>1975</v>
      </c>
      <c r="C332" s="1015" t="s">
        <v>1539</v>
      </c>
      <c r="D332" s="1014" t="str">
        <f>D309</f>
        <v>As at Mar 31, 2023</v>
      </c>
      <c r="E332" s="1374" t="s">
        <v>2370</v>
      </c>
      <c r="F332" s="1711"/>
      <c r="G332" s="1711"/>
    </row>
    <row r="333" spans="1:7" s="702" customFormat="1" ht="13.8" x14ac:dyDescent="0.25">
      <c r="B333" s="1321"/>
      <c r="C333" s="1017" t="s">
        <v>2008</v>
      </c>
      <c r="D333" s="880"/>
      <c r="E333" s="1367"/>
      <c r="F333" s="1698"/>
      <c r="G333" s="1698"/>
    </row>
    <row r="334" spans="1:7" s="700" customFormat="1" ht="13.8" x14ac:dyDescent="0.25">
      <c r="B334" s="1351"/>
      <c r="C334" s="878" t="s">
        <v>1802</v>
      </c>
      <c r="D334" s="880"/>
      <c r="E334" s="1367"/>
      <c r="F334" s="1698"/>
      <c r="G334" s="1698"/>
    </row>
    <row r="335" spans="1:7" s="700" customFormat="1" ht="13.8" x14ac:dyDescent="0.25">
      <c r="B335" s="1351"/>
      <c r="C335" s="878" t="s">
        <v>1799</v>
      </c>
      <c r="D335" s="880">
        <v>0</v>
      </c>
      <c r="E335" s="1367">
        <v>0</v>
      </c>
      <c r="F335" s="1698"/>
      <c r="G335" s="1698"/>
    </row>
    <row r="336" spans="1:7" s="700" customFormat="1" ht="13.8" x14ac:dyDescent="0.25">
      <c r="B336" s="1351"/>
      <c r="C336" s="878" t="s">
        <v>1800</v>
      </c>
      <c r="D336" s="764">
        <v>0</v>
      </c>
      <c r="E336" s="1395">
        <v>0</v>
      </c>
      <c r="F336" s="1718"/>
      <c r="G336" s="1698"/>
    </row>
    <row r="337" spans="2:10" s="700" customFormat="1" ht="27.6" x14ac:dyDescent="0.25">
      <c r="B337" s="1351"/>
      <c r="C337" s="1547" t="s">
        <v>2003</v>
      </c>
      <c r="D337" s="880">
        <v>0</v>
      </c>
      <c r="E337" s="1367">
        <v>0</v>
      </c>
      <c r="F337" s="1698"/>
      <c r="G337" s="1698"/>
    </row>
    <row r="338" spans="2:10" s="700" customFormat="1" ht="13.8" x14ac:dyDescent="0.25">
      <c r="B338" s="1351"/>
      <c r="C338" s="707" t="s">
        <v>1803</v>
      </c>
      <c r="D338" s="886">
        <v>0</v>
      </c>
      <c r="E338" s="1383">
        <v>0</v>
      </c>
      <c r="F338" s="1711"/>
      <c r="G338" s="1711"/>
    </row>
    <row r="339" spans="2:10" s="700" customFormat="1" ht="13.8" x14ac:dyDescent="0.25">
      <c r="B339" s="1394"/>
      <c r="C339" s="710" t="s">
        <v>1804</v>
      </c>
      <c r="D339" s="763">
        <v>0</v>
      </c>
      <c r="E339" s="1376">
        <v>0</v>
      </c>
      <c r="F339" s="1712"/>
      <c r="G339" s="1712"/>
    </row>
    <row r="340" spans="2:10" s="700" customFormat="1" ht="13.8" x14ac:dyDescent="0.25">
      <c r="B340" s="1394"/>
      <c r="C340" s="710" t="s">
        <v>1805</v>
      </c>
      <c r="D340" s="763">
        <v>0</v>
      </c>
      <c r="E340" s="1376">
        <v>0</v>
      </c>
      <c r="F340" s="1712"/>
      <c r="G340" s="762"/>
    </row>
    <row r="341" spans="2:10" s="700" customFormat="1" ht="13.8" x14ac:dyDescent="0.25">
      <c r="B341" s="1394"/>
      <c r="C341" s="698" t="s">
        <v>1806</v>
      </c>
      <c r="D341" s="764">
        <v>0</v>
      </c>
      <c r="E341" s="1395">
        <v>0</v>
      </c>
      <c r="F341" s="1718"/>
      <c r="G341" s="1718"/>
    </row>
    <row r="342" spans="2:10" s="700" customFormat="1" thickBot="1" x14ac:dyDescent="0.3">
      <c r="B342" s="1364"/>
      <c r="C342" s="699" t="s">
        <v>213</v>
      </c>
      <c r="D342" s="853">
        <f>SUM(D335:D341)</f>
        <v>0</v>
      </c>
      <c r="E342" s="1357">
        <v>0</v>
      </c>
      <c r="F342" s="761"/>
      <c r="G342" s="761"/>
    </row>
    <row r="343" spans="2:10" s="700" customFormat="1" thickTop="1" x14ac:dyDescent="0.25">
      <c r="B343" s="1351"/>
      <c r="C343" s="1017" t="s">
        <v>2007</v>
      </c>
      <c r="D343" s="876"/>
      <c r="E343" s="1396"/>
      <c r="F343" s="761"/>
      <c r="G343" s="761"/>
    </row>
    <row r="344" spans="2:10" s="700" customFormat="1" ht="13.8" x14ac:dyDescent="0.25">
      <c r="B344" s="1351"/>
      <c r="C344" s="878" t="s">
        <v>1802</v>
      </c>
      <c r="D344" s="880"/>
      <c r="E344" s="1367"/>
      <c r="F344" s="1698"/>
      <c r="G344" s="1698"/>
    </row>
    <row r="345" spans="2:10" s="700" customFormat="1" ht="13.8" x14ac:dyDescent="0.25">
      <c r="B345" s="1351"/>
      <c r="C345" s="878" t="s">
        <v>1799</v>
      </c>
      <c r="D345" s="880">
        <v>0</v>
      </c>
      <c r="E345" s="1367">
        <v>0</v>
      </c>
      <c r="F345" s="1698"/>
      <c r="G345" s="1698"/>
    </row>
    <row r="346" spans="2:10" s="700" customFormat="1" ht="13.8" x14ac:dyDescent="0.25">
      <c r="B346" s="1351"/>
      <c r="C346" s="878" t="s">
        <v>1800</v>
      </c>
      <c r="D346" s="764">
        <v>0</v>
      </c>
      <c r="E346" s="1395">
        <v>0</v>
      </c>
      <c r="F346" s="1718"/>
      <c r="G346" s="1698"/>
    </row>
    <row r="347" spans="2:10" s="700" customFormat="1" ht="27.6" x14ac:dyDescent="0.25">
      <c r="B347" s="1351"/>
      <c r="C347" s="1547" t="s">
        <v>2003</v>
      </c>
      <c r="D347" s="880">
        <v>0</v>
      </c>
      <c r="E347" s="1367">
        <v>0</v>
      </c>
      <c r="F347" s="1698"/>
      <c r="G347" s="1698"/>
    </row>
    <row r="348" spans="2:10" s="700" customFormat="1" ht="13.8" x14ac:dyDescent="0.25">
      <c r="B348" s="1351"/>
      <c r="C348" s="707" t="s">
        <v>1803</v>
      </c>
      <c r="D348" s="886">
        <v>0</v>
      </c>
      <c r="E348" s="1383">
        <v>0</v>
      </c>
      <c r="F348" s="1711"/>
      <c r="G348" s="1711"/>
      <c r="H348" s="1325"/>
      <c r="I348" s="1325"/>
      <c r="J348" s="1325"/>
    </row>
    <row r="349" spans="2:10" s="700" customFormat="1" ht="13.8" x14ac:dyDescent="0.25">
      <c r="B349" s="1394"/>
      <c r="C349" s="710" t="s">
        <v>1804</v>
      </c>
      <c r="D349" s="763">
        <v>0</v>
      </c>
      <c r="E349" s="1376">
        <v>0</v>
      </c>
      <c r="F349" s="1712"/>
      <c r="G349" s="1712"/>
      <c r="H349" s="1484"/>
      <c r="I349" s="1325"/>
    </row>
    <row r="350" spans="2:10" s="700" customFormat="1" ht="13.8" x14ac:dyDescent="0.25">
      <c r="B350" s="1394"/>
      <c r="C350" s="710" t="s">
        <v>1805</v>
      </c>
      <c r="D350" s="1376">
        <v>0</v>
      </c>
      <c r="E350" s="1376">
        <v>239838</v>
      </c>
      <c r="F350" s="1712"/>
      <c r="G350" s="762"/>
      <c r="H350" s="1484"/>
    </row>
    <row r="351" spans="2:10" s="700" customFormat="1" ht="13.8" x14ac:dyDescent="0.25">
      <c r="B351" s="1394"/>
      <c r="C351" s="698" t="s">
        <v>1806</v>
      </c>
      <c r="D351" s="764">
        <v>0</v>
      </c>
      <c r="E351" s="1395">
        <v>0</v>
      </c>
      <c r="F351" s="1718"/>
      <c r="G351" s="1718"/>
      <c r="H351" s="1325"/>
      <c r="I351" s="1325"/>
    </row>
    <row r="352" spans="2:10" s="700" customFormat="1" thickBot="1" x14ac:dyDescent="0.3">
      <c r="B352" s="1364"/>
      <c r="C352" s="699" t="s">
        <v>213</v>
      </c>
      <c r="D352" s="853">
        <f>SUM(D345:D351)</f>
        <v>0</v>
      </c>
      <c r="E352" s="1357">
        <v>239838</v>
      </c>
      <c r="F352" s="761"/>
      <c r="G352" s="761"/>
    </row>
    <row r="353" spans="2:8" s="700" customFormat="1" thickTop="1" x14ac:dyDescent="0.25">
      <c r="B353" s="1318" t="s">
        <v>2318</v>
      </c>
      <c r="E353" s="1335"/>
    </row>
    <row r="354" spans="2:8" s="702" customFormat="1" ht="27.6" x14ac:dyDescent="0.25">
      <c r="B354" s="1339" t="s">
        <v>1975</v>
      </c>
      <c r="C354" s="1078" t="s">
        <v>1539</v>
      </c>
      <c r="D354" s="1114" t="str">
        <f>D332</f>
        <v>As at Mar 31, 2023</v>
      </c>
      <c r="E354" s="1757" t="s">
        <v>2370</v>
      </c>
      <c r="F354" s="1719"/>
      <c r="G354" s="1719"/>
    </row>
    <row r="355" spans="2:8" s="700" customFormat="1" ht="13.8" x14ac:dyDescent="0.25">
      <c r="B355" s="1328"/>
      <c r="C355" s="700" t="s">
        <v>1808</v>
      </c>
      <c r="D355" s="1068"/>
      <c r="E355" s="1332"/>
      <c r="F355" s="1703"/>
      <c r="G355" s="1703"/>
    </row>
    <row r="356" spans="2:8" s="700" customFormat="1" ht="13.8" x14ac:dyDescent="0.25">
      <c r="B356" s="1328"/>
      <c r="C356" s="700" t="s">
        <v>1809</v>
      </c>
      <c r="D356" s="1068">
        <f>-'Sundry Debtors'!M967</f>
        <v>1336431.8999999997</v>
      </c>
      <c r="E356" s="1332">
        <v>0</v>
      </c>
      <c r="F356" s="1703"/>
      <c r="G356" s="1703"/>
    </row>
    <row r="357" spans="2:8" s="700" customFormat="1" ht="13.8" x14ac:dyDescent="0.25">
      <c r="B357" s="1328"/>
      <c r="C357" s="700" t="s">
        <v>1811</v>
      </c>
      <c r="D357" s="756"/>
      <c r="E357" s="1353"/>
      <c r="F357" s="1703"/>
      <c r="G357" s="1703"/>
    </row>
    <row r="358" spans="2:8" s="700" customFormat="1" ht="13.8" x14ac:dyDescent="0.25">
      <c r="B358" s="1328"/>
      <c r="C358" s="700" t="s">
        <v>2140</v>
      </c>
      <c r="D358" s="756">
        <f>-'Trial Balance'!R254</f>
        <v>25416.34</v>
      </c>
      <c r="E358" s="1353">
        <v>34984.339999999997</v>
      </c>
      <c r="F358" s="1703"/>
      <c r="G358" s="1703" t="s">
        <v>211</v>
      </c>
      <c r="H358" s="700" t="s">
        <v>2417</v>
      </c>
    </row>
    <row r="359" spans="2:8" s="700" customFormat="1" ht="13.8" x14ac:dyDescent="0.25">
      <c r="B359" s="1328"/>
      <c r="C359" s="700" t="s">
        <v>2141</v>
      </c>
      <c r="D359" s="756">
        <f>Computation!F69-'Trial Balance'!R63</f>
        <v>650333</v>
      </c>
      <c r="E359" s="1353">
        <v>197657</v>
      </c>
      <c r="F359" s="1703"/>
      <c r="G359" s="1703"/>
    </row>
    <row r="360" spans="2:8" s="700" customFormat="1" ht="13.8" x14ac:dyDescent="0.25">
      <c r="B360" s="1328"/>
      <c r="C360" s="700" t="s">
        <v>2142</v>
      </c>
      <c r="D360" s="756">
        <v>0</v>
      </c>
      <c r="E360" s="1353">
        <v>0</v>
      </c>
      <c r="F360" s="1703"/>
      <c r="G360" s="1703"/>
    </row>
    <row r="361" spans="2:8" s="700" customFormat="1" ht="13.8" x14ac:dyDescent="0.25">
      <c r="B361" s="1328"/>
      <c r="C361" s="700" t="s">
        <v>2143</v>
      </c>
      <c r="D361" s="756">
        <v>0</v>
      </c>
      <c r="E361" s="1353">
        <v>0</v>
      </c>
      <c r="F361" s="1703"/>
      <c r="G361" s="1703"/>
    </row>
    <row r="362" spans="2:8" s="700" customFormat="1" ht="13.8" x14ac:dyDescent="0.25">
      <c r="B362" s="1328"/>
      <c r="C362" s="700" t="s">
        <v>2092</v>
      </c>
      <c r="D362" s="756">
        <f>-'Trial Balance'!R250</f>
        <v>67500</v>
      </c>
      <c r="E362" s="1353">
        <v>0</v>
      </c>
      <c r="F362" s="1703"/>
      <c r="G362" s="1703"/>
    </row>
    <row r="363" spans="2:8" s="700" customFormat="1" ht="13.8" x14ac:dyDescent="0.25">
      <c r="B363" s="1328"/>
      <c r="C363" s="700" t="s">
        <v>2004</v>
      </c>
      <c r="D363" s="756">
        <f>-'Trial Balance'!R259</f>
        <v>133090.96</v>
      </c>
      <c r="E363" s="1353">
        <v>204319.83999999997</v>
      </c>
      <c r="F363" s="1703"/>
      <c r="G363" s="1703"/>
    </row>
    <row r="364" spans="2:8" s="700" customFormat="1" ht="13.8" x14ac:dyDescent="0.25">
      <c r="B364" s="1328"/>
      <c r="C364" s="700" t="s">
        <v>2005</v>
      </c>
      <c r="D364" s="756">
        <f>-'Trial Balance'!R258</f>
        <v>200500</v>
      </c>
      <c r="E364" s="1353">
        <v>92500</v>
      </c>
      <c r="F364" s="1703"/>
      <c r="G364" s="1703"/>
      <c r="H364" s="1325"/>
    </row>
    <row r="365" spans="2:8" s="700" customFormat="1" ht="13.8" x14ac:dyDescent="0.25">
      <c r="B365" s="1328"/>
      <c r="D365" s="1068"/>
      <c r="E365" s="1332"/>
      <c r="F365" s="1703"/>
      <c r="G365" s="1703"/>
    </row>
    <row r="366" spans="2:8" s="702" customFormat="1" ht="13.8" x14ac:dyDescent="0.25">
      <c r="B366" s="1339"/>
      <c r="C366" s="1115" t="s">
        <v>213</v>
      </c>
      <c r="D366" s="1782">
        <f>SUM(D356:D365)</f>
        <v>2413272.1999999997</v>
      </c>
      <c r="E366" s="1397">
        <v>529461.17999999993</v>
      </c>
      <c r="F366" s="1702"/>
      <c r="G366" s="1702"/>
    </row>
    <row r="367" spans="2:8" s="700" customFormat="1" ht="13.8" x14ac:dyDescent="0.25">
      <c r="B367" s="1343"/>
      <c r="E367" s="1335"/>
    </row>
    <row r="368" spans="2:8" s="337" customFormat="1" ht="15.6" x14ac:dyDescent="0.3">
      <c r="B368" s="1980" t="s">
        <v>2319</v>
      </c>
      <c r="C368" s="1981"/>
      <c r="D368" s="1545"/>
      <c r="E368" s="1758"/>
      <c r="F368" s="398"/>
      <c r="G368" s="1720"/>
    </row>
    <row r="369" spans="2:8" s="337" customFormat="1" ht="15.6" x14ac:dyDescent="0.3">
      <c r="B369" s="1398"/>
      <c r="C369" s="399"/>
      <c r="D369" s="399"/>
      <c r="E369" s="1542"/>
      <c r="F369" s="400"/>
      <c r="G369" s="401"/>
    </row>
    <row r="370" spans="2:8" s="337" customFormat="1" ht="46.8" x14ac:dyDescent="0.3">
      <c r="B370" s="1399"/>
      <c r="C370" s="904" t="s">
        <v>1539</v>
      </c>
      <c r="D370" s="403" t="str">
        <f>'BS PL CFL'!E88</f>
        <v>For the year ended March 31, 2023</v>
      </c>
      <c r="E370" s="1400" t="s">
        <v>2371</v>
      </c>
      <c r="F370" s="1715"/>
      <c r="G370" s="1715"/>
    </row>
    <row r="371" spans="2:8" s="337" customFormat="1" ht="28.2" x14ac:dyDescent="0.3">
      <c r="B371" s="1401" t="s">
        <v>1976</v>
      </c>
      <c r="C371" s="1117" t="s">
        <v>2069</v>
      </c>
      <c r="D371" s="903"/>
      <c r="E371" s="1759"/>
      <c r="F371" s="1715"/>
      <c r="G371" s="1715"/>
    </row>
    <row r="372" spans="2:8" s="337" customFormat="1" ht="15.6" x14ac:dyDescent="0.3">
      <c r="B372" s="1401"/>
      <c r="C372" s="902" t="s">
        <v>1835</v>
      </c>
      <c r="D372" s="901"/>
      <c r="E372" s="1402"/>
      <c r="F372" s="1715"/>
      <c r="G372" s="1715"/>
    </row>
    <row r="373" spans="2:8" s="337" customFormat="1" ht="15.6" x14ac:dyDescent="0.3">
      <c r="B373" s="1401"/>
      <c r="C373" s="397" t="s">
        <v>1836</v>
      </c>
      <c r="D373" s="404">
        <v>0</v>
      </c>
      <c r="E373" s="1403">
        <v>0</v>
      </c>
      <c r="F373" s="1721"/>
      <c r="G373" s="1721"/>
    </row>
    <row r="374" spans="2:8" s="337" customFormat="1" ht="15.6" x14ac:dyDescent="0.3">
      <c r="B374" s="1401"/>
      <c r="C374" s="397" t="s">
        <v>2070</v>
      </c>
      <c r="D374" s="1889">
        <f>-'Trial Balance'!R1272</f>
        <v>17352507.5</v>
      </c>
      <c r="E374" s="1403">
        <v>29708700.600000001</v>
      </c>
      <c r="F374" s="1721"/>
      <c r="G374" s="1722"/>
      <c r="H374" s="1435"/>
    </row>
    <row r="375" spans="2:8" s="474" customFormat="1" ht="15.6" x14ac:dyDescent="0.3">
      <c r="B375" s="1404"/>
      <c r="C375" s="1118" t="s">
        <v>1846</v>
      </c>
      <c r="D375" s="906">
        <f>SUM(D373:D374)</f>
        <v>17352507.5</v>
      </c>
      <c r="E375" s="1405">
        <v>29708700.600000001</v>
      </c>
      <c r="F375" s="1723"/>
      <c r="G375" s="1723"/>
    </row>
    <row r="376" spans="2:8" s="337" customFormat="1" ht="15.6" x14ac:dyDescent="0.3">
      <c r="B376" s="1401"/>
      <c r="C376" s="902" t="s">
        <v>1837</v>
      </c>
      <c r="D376" s="404"/>
      <c r="E376" s="1403"/>
      <c r="F376" s="1721"/>
      <c r="G376" s="1722"/>
    </row>
    <row r="377" spans="2:8" s="337" customFormat="1" ht="15.6" x14ac:dyDescent="0.3">
      <c r="B377" s="1401"/>
      <c r="C377" s="397" t="s">
        <v>1838</v>
      </c>
      <c r="D377" s="404">
        <v>0</v>
      </c>
      <c r="E377" s="1403">
        <v>0</v>
      </c>
      <c r="F377" s="1721"/>
      <c r="G377" s="1722"/>
    </row>
    <row r="378" spans="2:8" s="337" customFormat="1" ht="15.6" x14ac:dyDescent="0.3">
      <c r="B378" s="1401"/>
      <c r="C378" s="397" t="s">
        <v>1839</v>
      </c>
      <c r="D378" s="404">
        <v>0</v>
      </c>
      <c r="E378" s="1403">
        <v>0</v>
      </c>
      <c r="F378" s="1721"/>
      <c r="G378" s="1722"/>
    </row>
    <row r="379" spans="2:8" s="474" customFormat="1" ht="15.6" x14ac:dyDescent="0.3">
      <c r="B379" s="1404"/>
      <c r="C379" s="1119" t="s">
        <v>1792</v>
      </c>
      <c r="D379" s="1120">
        <f>SUM(D377:D378)</f>
        <v>0</v>
      </c>
      <c r="E379" s="1406">
        <v>0</v>
      </c>
      <c r="F379" s="1697"/>
      <c r="G379" s="1697"/>
    </row>
    <row r="380" spans="2:8" s="337" customFormat="1" ht="15.6" x14ac:dyDescent="0.3">
      <c r="B380" s="1401"/>
      <c r="C380" s="902" t="s">
        <v>1840</v>
      </c>
      <c r="D380" s="1121"/>
      <c r="E380" s="1407"/>
      <c r="F380" s="1030"/>
      <c r="G380" s="1030"/>
    </row>
    <row r="381" spans="2:8" s="337" customFormat="1" ht="15.6" x14ac:dyDescent="0.3">
      <c r="B381" s="1401"/>
      <c r="C381" s="397" t="s">
        <v>1841</v>
      </c>
      <c r="D381" s="1121">
        <v>0</v>
      </c>
      <c r="E381" s="1407">
        <v>0</v>
      </c>
      <c r="F381" s="1030"/>
      <c r="G381" s="1030"/>
    </row>
    <row r="382" spans="2:8" s="337" customFormat="1" ht="15.6" x14ac:dyDescent="0.3">
      <c r="B382" s="1401"/>
      <c r="C382" s="397" t="s">
        <v>2071</v>
      </c>
      <c r="D382" s="1121">
        <v>0</v>
      </c>
      <c r="E382" s="1407">
        <v>0</v>
      </c>
      <c r="F382" s="1030"/>
      <c r="G382" s="1030"/>
    </row>
    <row r="383" spans="2:8" s="337" customFormat="1" ht="15.6" x14ac:dyDescent="0.3">
      <c r="B383" s="1401"/>
      <c r="C383" s="397" t="s">
        <v>1860</v>
      </c>
      <c r="D383" s="1121">
        <v>0</v>
      </c>
      <c r="E383" s="1407">
        <v>0</v>
      </c>
      <c r="F383" s="1030"/>
      <c r="G383" s="1030"/>
    </row>
    <row r="384" spans="2:8" s="337" customFormat="1" ht="15.6" x14ac:dyDescent="0.3">
      <c r="B384" s="1401"/>
      <c r="C384" s="397" t="s">
        <v>1842</v>
      </c>
      <c r="D384" s="1121">
        <v>0</v>
      </c>
      <c r="E384" s="1407">
        <v>0</v>
      </c>
      <c r="F384" s="1030"/>
      <c r="G384" s="1030"/>
    </row>
    <row r="385" spans="2:7" s="337" customFormat="1" ht="15.6" x14ac:dyDescent="0.3">
      <c r="B385" s="1401"/>
      <c r="C385" s="1057" t="s">
        <v>1843</v>
      </c>
      <c r="D385" s="1121">
        <v>0</v>
      </c>
      <c r="E385" s="1407">
        <v>0</v>
      </c>
      <c r="F385" s="1030"/>
      <c r="G385" s="1030"/>
    </row>
    <row r="386" spans="2:7" s="337" customFormat="1" ht="15.6" x14ac:dyDescent="0.3">
      <c r="B386" s="1401"/>
      <c r="C386" s="1057" t="s">
        <v>1844</v>
      </c>
      <c r="D386" s="1121">
        <v>0</v>
      </c>
      <c r="E386" s="1407">
        <v>0</v>
      </c>
      <c r="F386" s="1030"/>
      <c r="G386" s="1030"/>
    </row>
    <row r="387" spans="2:7" s="474" customFormat="1" ht="15.6" x14ac:dyDescent="0.3">
      <c r="B387" s="1404"/>
      <c r="C387" s="905" t="s">
        <v>1792</v>
      </c>
      <c r="D387" s="1120">
        <f>SUM(D381:D386)</f>
        <v>0</v>
      </c>
      <c r="E387" s="1406">
        <v>0</v>
      </c>
      <c r="F387" s="1697"/>
      <c r="G387" s="1697"/>
    </row>
    <row r="388" spans="2:7" s="337" customFormat="1" ht="16.2" thickBot="1" x14ac:dyDescent="0.35">
      <c r="B388" s="1401"/>
      <c r="C388" s="405" t="s">
        <v>1845</v>
      </c>
      <c r="D388" s="911">
        <f>D375+D379+D387</f>
        <v>17352507.5</v>
      </c>
      <c r="E388" s="1408">
        <v>29708700.600000001</v>
      </c>
      <c r="F388" s="398"/>
      <c r="G388" s="398"/>
    </row>
    <row r="389" spans="2:7" s="337" customFormat="1" ht="16.2" thickTop="1" x14ac:dyDescent="0.3">
      <c r="B389" s="1401" t="s">
        <v>1977</v>
      </c>
      <c r="C389" s="907" t="s">
        <v>2068</v>
      </c>
      <c r="D389" s="910"/>
      <c r="E389" s="1409"/>
      <c r="F389" s="398"/>
      <c r="G389" s="398"/>
    </row>
    <row r="390" spans="2:7" s="337" customFormat="1" ht="31.2" x14ac:dyDescent="0.3">
      <c r="B390" s="1401"/>
      <c r="C390" s="912" t="s">
        <v>1847</v>
      </c>
      <c r="D390" s="910"/>
      <c r="E390" s="1409"/>
      <c r="F390" s="398"/>
      <c r="G390" s="398"/>
    </row>
    <row r="391" spans="2:7" s="337" customFormat="1" ht="15.6" x14ac:dyDescent="0.3">
      <c r="B391" s="1401"/>
      <c r="C391" s="908" t="s">
        <v>1848</v>
      </c>
      <c r="D391" s="404">
        <v>0</v>
      </c>
      <c r="E391" s="1403">
        <v>0</v>
      </c>
      <c r="F391" s="1721"/>
      <c r="G391" s="1722"/>
    </row>
    <row r="392" spans="2:7" s="337" customFormat="1" ht="15.6" x14ac:dyDescent="0.3">
      <c r="B392" s="1401"/>
      <c r="C392" s="908" t="s">
        <v>1849</v>
      </c>
      <c r="D392" s="910">
        <v>0</v>
      </c>
      <c r="E392" s="1409">
        <v>0</v>
      </c>
      <c r="F392" s="398"/>
      <c r="G392" s="398"/>
    </row>
    <row r="393" spans="2:7" s="337" customFormat="1" ht="16.2" thickBot="1" x14ac:dyDescent="0.35">
      <c r="B393" s="1401"/>
      <c r="C393" s="908"/>
      <c r="D393" s="911">
        <f>SUM(D391:D392)</f>
        <v>0</v>
      </c>
      <c r="E393" s="1408">
        <v>0</v>
      </c>
      <c r="F393" s="398"/>
      <c r="G393" s="398"/>
    </row>
    <row r="394" spans="2:7" s="337" customFormat="1" ht="16.2" thickTop="1" x14ac:dyDescent="0.3">
      <c r="B394" s="1401"/>
      <c r="C394" s="909"/>
      <c r="D394" s="910"/>
      <c r="E394" s="1409"/>
      <c r="F394" s="398"/>
      <c r="G394" s="398"/>
    </row>
    <row r="395" spans="2:7" s="337" customFormat="1" ht="31.2" x14ac:dyDescent="0.3">
      <c r="B395" s="1401"/>
      <c r="C395" s="1294" t="s">
        <v>1850</v>
      </c>
      <c r="D395" s="910"/>
      <c r="E395" s="1409"/>
      <c r="F395" s="398"/>
      <c r="G395" s="398"/>
    </row>
    <row r="396" spans="2:7" s="337" customFormat="1" ht="15.6" x14ac:dyDescent="0.3">
      <c r="B396" s="1401"/>
      <c r="C396" s="409" t="s">
        <v>1851</v>
      </c>
      <c r="D396" s="910">
        <v>0</v>
      </c>
      <c r="E396" s="1409">
        <v>0</v>
      </c>
      <c r="F396" s="398"/>
      <c r="G396" s="398"/>
    </row>
    <row r="397" spans="2:7" s="337" customFormat="1" ht="15.6" x14ac:dyDescent="0.3">
      <c r="B397" s="1401"/>
      <c r="C397" s="409" t="s">
        <v>1852</v>
      </c>
      <c r="D397" s="910"/>
      <c r="E397" s="1409"/>
      <c r="F397" s="398"/>
      <c r="G397" s="398"/>
    </row>
    <row r="398" spans="2:7" s="337" customFormat="1" ht="15.6" x14ac:dyDescent="0.3">
      <c r="B398" s="1401"/>
      <c r="C398" s="908" t="s">
        <v>1853</v>
      </c>
      <c r="D398" s="910"/>
      <c r="E398" s="1409"/>
      <c r="F398" s="398"/>
      <c r="G398" s="398"/>
    </row>
    <row r="399" spans="2:7" s="337" customFormat="1" ht="15.6" x14ac:dyDescent="0.3">
      <c r="B399" s="1401"/>
      <c r="C399" s="908" t="s">
        <v>1854</v>
      </c>
      <c r="D399" s="910"/>
      <c r="E399" s="1409"/>
      <c r="F399" s="398"/>
      <c r="G399" s="398"/>
    </row>
    <row r="400" spans="2:7" s="337" customFormat="1" ht="15.6" x14ac:dyDescent="0.3">
      <c r="B400" s="1401"/>
      <c r="C400" s="908" t="s">
        <v>1855</v>
      </c>
      <c r="D400" s="910"/>
      <c r="E400" s="1409"/>
      <c r="F400" s="398"/>
      <c r="G400" s="398"/>
    </row>
    <row r="401" spans="2:7" s="337" customFormat="1" ht="15.6" x14ac:dyDescent="0.3">
      <c r="B401" s="1401"/>
      <c r="C401" s="908" t="s">
        <v>1856</v>
      </c>
      <c r="D401" s="404">
        <v>0</v>
      </c>
      <c r="E401" s="1403">
        <v>0</v>
      </c>
      <c r="F401" s="1721"/>
      <c r="G401" s="1722"/>
    </row>
    <row r="402" spans="2:7" s="337" customFormat="1" ht="16.2" thickBot="1" x14ac:dyDescent="0.35">
      <c r="B402" s="1410"/>
      <c r="C402" s="913" t="s">
        <v>1857</v>
      </c>
      <c r="D402" s="911">
        <f>D396-D401</f>
        <v>0</v>
      </c>
      <c r="E402" s="1408">
        <v>0</v>
      </c>
      <c r="F402" s="398"/>
      <c r="G402" s="398"/>
    </row>
    <row r="403" spans="2:7" s="337" customFormat="1" ht="16.2" thickTop="1" x14ac:dyDescent="0.3">
      <c r="B403" s="1398"/>
      <c r="C403" s="399"/>
      <c r="D403" s="399"/>
      <c r="E403" s="1542"/>
    </row>
    <row r="404" spans="2:7" s="337" customFormat="1" ht="15.6" x14ac:dyDescent="0.3">
      <c r="B404" s="1398"/>
      <c r="C404" s="1975" t="s">
        <v>1858</v>
      </c>
      <c r="D404" s="1975"/>
      <c r="E404" s="1976"/>
      <c r="F404" s="399"/>
      <c r="G404" s="399"/>
    </row>
    <row r="405" spans="2:7" s="337" customFormat="1" ht="15.6" x14ac:dyDescent="0.3">
      <c r="B405" s="1398"/>
      <c r="C405" s="1975" t="s">
        <v>1859</v>
      </c>
      <c r="D405" s="1975"/>
      <c r="E405" s="1976"/>
      <c r="F405" s="399"/>
      <c r="G405" s="399"/>
    </row>
    <row r="406" spans="2:7" s="337" customFormat="1" ht="66.75" customHeight="1" x14ac:dyDescent="0.3">
      <c r="B406" s="1398"/>
      <c r="C406" s="1996" t="s">
        <v>2072</v>
      </c>
      <c r="D406" s="1996"/>
      <c r="E406" s="1997"/>
      <c r="F406" s="1724"/>
      <c r="G406" s="1724"/>
    </row>
    <row r="407" spans="2:7" s="337" customFormat="1" ht="15.6" x14ac:dyDescent="0.3">
      <c r="B407" s="1398"/>
      <c r="C407" s="1543"/>
      <c r="D407" s="1543"/>
      <c r="E407" s="1544"/>
    </row>
    <row r="408" spans="2:7" s="337" customFormat="1" ht="15.6" x14ac:dyDescent="0.3">
      <c r="B408" s="1982" t="s">
        <v>2320</v>
      </c>
      <c r="C408" s="1983"/>
      <c r="D408" s="1545"/>
      <c r="E408" s="1758"/>
    </row>
    <row r="409" spans="2:7" s="337" customFormat="1" ht="46.8" x14ac:dyDescent="0.3">
      <c r="B409" s="1399"/>
      <c r="C409" s="402" t="str">
        <f>+C370</f>
        <v>Particualrs</v>
      </c>
      <c r="D409" s="403" t="str">
        <f>D370</f>
        <v>For the year ended March 31, 2023</v>
      </c>
      <c r="E409" s="1400" t="s">
        <v>2371</v>
      </c>
      <c r="F409" s="1715"/>
      <c r="G409" s="1715"/>
    </row>
    <row r="410" spans="2:7" s="337" customFormat="1" ht="15.6" x14ac:dyDescent="0.3">
      <c r="B410" s="1401"/>
      <c r="C410" s="917" t="s">
        <v>1861</v>
      </c>
      <c r="D410" s="1440"/>
      <c r="E410" s="1412"/>
      <c r="F410" s="915"/>
      <c r="G410" s="915"/>
    </row>
    <row r="411" spans="2:7" s="337" customFormat="1" ht="46.8" x14ac:dyDescent="0.3">
      <c r="B411" s="1401"/>
      <c r="C411" s="916" t="s">
        <v>1862</v>
      </c>
      <c r="D411" s="915">
        <v>0</v>
      </c>
      <c r="E411" s="1412">
        <v>0</v>
      </c>
      <c r="F411" s="915"/>
      <c r="G411" s="915"/>
    </row>
    <row r="412" spans="2:7" s="337" customFormat="1" ht="46.8" x14ac:dyDescent="0.3">
      <c r="B412" s="1401"/>
      <c r="C412" s="916" t="s">
        <v>1863</v>
      </c>
      <c r="D412" s="915">
        <v>0</v>
      </c>
      <c r="E412" s="1412">
        <v>0</v>
      </c>
      <c r="F412" s="915"/>
      <c r="G412" s="915"/>
    </row>
    <row r="413" spans="2:7" s="337" customFormat="1" ht="15.6" x14ac:dyDescent="0.3">
      <c r="B413" s="1401"/>
      <c r="C413" s="914" t="s">
        <v>1864</v>
      </c>
      <c r="D413" s="915">
        <v>0</v>
      </c>
      <c r="E413" s="1412">
        <v>0</v>
      </c>
      <c r="F413" s="915"/>
      <c r="G413" s="915"/>
    </row>
    <row r="414" spans="2:7" s="337" customFormat="1" ht="15.6" x14ac:dyDescent="0.3">
      <c r="B414" s="1401"/>
      <c r="C414" s="914" t="s">
        <v>1865</v>
      </c>
      <c r="D414" s="915"/>
      <c r="E414" s="1412"/>
      <c r="F414" s="915"/>
      <c r="G414" s="915"/>
    </row>
    <row r="415" spans="2:7" s="337" customFormat="1" ht="15.6" x14ac:dyDescent="0.3">
      <c r="B415" s="1401"/>
      <c r="C415" s="914" t="s">
        <v>1866</v>
      </c>
      <c r="D415" s="915">
        <v>0</v>
      </c>
      <c r="E415" s="1412">
        <v>0</v>
      </c>
      <c r="F415" s="915"/>
      <c r="G415" s="915"/>
    </row>
    <row r="416" spans="2:7" s="337" customFormat="1" ht="15.6" x14ac:dyDescent="0.3">
      <c r="B416" s="1401"/>
      <c r="C416" s="914" t="s">
        <v>1867</v>
      </c>
      <c r="D416" s="1191"/>
      <c r="E416" s="1775">
        <v>0</v>
      </c>
      <c r="F416" s="1191"/>
      <c r="G416" s="915"/>
    </row>
    <row r="417" spans="2:7" s="474" customFormat="1" ht="16.2" thickBot="1" x14ac:dyDescent="0.35">
      <c r="B417" s="1404"/>
      <c r="C417" s="920" t="s">
        <v>1871</v>
      </c>
      <c r="D417" s="1725">
        <f>SUM(D411:D416)</f>
        <v>0</v>
      </c>
      <c r="E417" s="1413">
        <v>0</v>
      </c>
      <c r="F417" s="1726"/>
      <c r="G417" s="1726"/>
    </row>
    <row r="418" spans="2:7" s="474" customFormat="1" ht="16.2" thickTop="1" x14ac:dyDescent="0.3">
      <c r="B418" s="1404"/>
      <c r="C418" s="920"/>
      <c r="D418" s="2094"/>
      <c r="E418" s="2095"/>
      <c r="F418" s="1726"/>
      <c r="G418" s="1726"/>
    </row>
    <row r="419" spans="2:7" s="474" customFormat="1" ht="15.6" x14ac:dyDescent="0.3">
      <c r="B419" s="1404"/>
      <c r="C419" s="920" t="s">
        <v>3745</v>
      </c>
      <c r="D419" s="2094"/>
      <c r="E419" s="2095"/>
      <c r="F419" s="1726"/>
      <c r="G419" s="1726"/>
    </row>
    <row r="420" spans="2:7" s="474" customFormat="1" ht="15.6" x14ac:dyDescent="0.3">
      <c r="B420" s="1404"/>
      <c r="C420" s="920"/>
      <c r="D420" s="2094"/>
      <c r="E420" s="2095"/>
      <c r="F420" s="1726"/>
      <c r="G420" s="1726"/>
    </row>
    <row r="421" spans="2:7" s="337" customFormat="1" ht="15.6" x14ac:dyDescent="0.3">
      <c r="B421" s="1401"/>
      <c r="C421" s="918" t="s">
        <v>1868</v>
      </c>
      <c r="D421" s="408"/>
      <c r="E421" s="1412"/>
      <c r="F421" s="915"/>
      <c r="G421" s="1722"/>
    </row>
    <row r="422" spans="2:7" s="337" customFormat="1" ht="46.8" x14ac:dyDescent="0.3">
      <c r="B422" s="1401"/>
      <c r="C422" s="921" t="s">
        <v>1870</v>
      </c>
      <c r="D422" s="408">
        <v>0</v>
      </c>
      <c r="E422" s="1412">
        <v>0</v>
      </c>
      <c r="F422" s="915"/>
      <c r="G422" s="1722"/>
    </row>
    <row r="423" spans="2:7" s="337" customFormat="1" ht="46.8" x14ac:dyDescent="0.3">
      <c r="B423" s="1401"/>
      <c r="C423" s="921" t="s">
        <v>1869</v>
      </c>
      <c r="D423" s="408">
        <v>0</v>
      </c>
      <c r="E423" s="1412">
        <v>0</v>
      </c>
      <c r="F423" s="915"/>
      <c r="G423" s="1722"/>
    </row>
    <row r="424" spans="2:7" s="337" customFormat="1" ht="16.2" thickBot="1" x14ac:dyDescent="0.35">
      <c r="B424" s="1401"/>
      <c r="C424" s="920" t="s">
        <v>1872</v>
      </c>
      <c r="D424" s="919">
        <v>0</v>
      </c>
      <c r="E424" s="1760">
        <v>0</v>
      </c>
      <c r="F424" s="915"/>
      <c r="G424" s="1722"/>
    </row>
    <row r="425" spans="2:7" s="337" customFormat="1" ht="16.2" thickTop="1" x14ac:dyDescent="0.3">
      <c r="B425" s="1401"/>
      <c r="C425" s="922" t="s">
        <v>1873</v>
      </c>
      <c r="D425" s="408">
        <v>0</v>
      </c>
      <c r="E425" s="1412">
        <v>0</v>
      </c>
      <c r="F425" s="915"/>
      <c r="G425" s="1722"/>
    </row>
    <row r="426" spans="2:7" s="337" customFormat="1" ht="15.6" x14ac:dyDescent="0.3">
      <c r="B426" s="1401"/>
      <c r="C426" s="922" t="s">
        <v>1874</v>
      </c>
      <c r="D426" s="408">
        <v>0</v>
      </c>
      <c r="E426" s="1412">
        <v>0</v>
      </c>
      <c r="F426" s="915"/>
      <c r="G426" s="1722"/>
    </row>
    <row r="427" spans="2:7" s="337" customFormat="1" ht="15.6" x14ac:dyDescent="0.3">
      <c r="B427" s="1401"/>
      <c r="C427" s="922" t="s">
        <v>2293</v>
      </c>
      <c r="D427" s="408">
        <v>0</v>
      </c>
      <c r="E427" s="1412">
        <v>0</v>
      </c>
      <c r="F427" s="915"/>
      <c r="G427" s="1722"/>
    </row>
    <row r="428" spans="2:7" s="337" customFormat="1" ht="15.6" x14ac:dyDescent="0.3">
      <c r="B428" s="1401"/>
      <c r="C428" s="922" t="s">
        <v>2165</v>
      </c>
      <c r="D428" s="408">
        <v>0</v>
      </c>
      <c r="E428" s="1412">
        <v>2799043</v>
      </c>
      <c r="F428" s="915"/>
      <c r="G428" s="1722"/>
    </row>
    <row r="429" spans="2:7" s="337" customFormat="1" ht="16.2" thickBot="1" x14ac:dyDescent="0.35">
      <c r="B429" s="1410"/>
      <c r="C429" s="405" t="s">
        <v>2166</v>
      </c>
      <c r="D429" s="911">
        <f>D417+D424+D425+D426+D427+D428</f>
        <v>0</v>
      </c>
      <c r="E429" s="1408">
        <v>2799043</v>
      </c>
      <c r="F429" s="398"/>
      <c r="G429" s="398"/>
    </row>
    <row r="430" spans="2:7" s="337" customFormat="1" ht="16.2" thickTop="1" x14ac:dyDescent="0.3">
      <c r="B430" s="1398"/>
      <c r="C430" s="399"/>
      <c r="D430" s="399"/>
      <c r="E430" s="1542"/>
      <c r="F430" s="407"/>
      <c r="G430" s="399"/>
    </row>
    <row r="431" spans="2:7" s="337" customFormat="1" ht="15.6" x14ac:dyDescent="0.3">
      <c r="B431" s="1414" t="s">
        <v>2321</v>
      </c>
      <c r="E431" s="1411"/>
      <c r="F431" s="407"/>
      <c r="G431" s="399"/>
    </row>
    <row r="432" spans="2:7" s="337" customFormat="1" ht="46.8" x14ac:dyDescent="0.3">
      <c r="B432" s="1399"/>
      <c r="C432" s="925" t="str">
        <f>C409</f>
        <v>Particualrs</v>
      </c>
      <c r="D432" s="403" t="str">
        <f>D409</f>
        <v>For the year ended March 31, 2023</v>
      </c>
      <c r="E432" s="1400" t="s">
        <v>2371</v>
      </c>
      <c r="F432" s="1715"/>
      <c r="G432" s="1715"/>
    </row>
    <row r="433" spans="2:7" s="337" customFormat="1" ht="15.6" x14ac:dyDescent="0.3">
      <c r="B433" s="1401"/>
      <c r="C433" s="409" t="s">
        <v>1422</v>
      </c>
      <c r="D433" s="408">
        <v>0</v>
      </c>
      <c r="E433" s="1412">
        <v>0</v>
      </c>
      <c r="F433" s="915"/>
      <c r="G433" s="915"/>
    </row>
    <row r="434" spans="2:7" s="337" customFormat="1" ht="15.6" x14ac:dyDescent="0.3">
      <c r="B434" s="1401"/>
      <c r="C434" s="409" t="s">
        <v>1421</v>
      </c>
      <c r="D434" s="408">
        <v>0</v>
      </c>
      <c r="E434" s="1412">
        <v>0</v>
      </c>
      <c r="F434" s="915"/>
      <c r="G434" s="1722"/>
    </row>
    <row r="435" spans="2:7" s="474" customFormat="1" ht="15.6" x14ac:dyDescent="0.3">
      <c r="B435" s="1415"/>
      <c r="C435" s="948" t="s">
        <v>1926</v>
      </c>
      <c r="D435" s="406">
        <f>SUM(D433:D434)</f>
        <v>0</v>
      </c>
      <c r="E435" s="1416">
        <v>0</v>
      </c>
      <c r="F435" s="398"/>
      <c r="G435" s="398"/>
    </row>
    <row r="436" spans="2:7" s="474" customFormat="1" ht="15.6" x14ac:dyDescent="0.3">
      <c r="B436" s="1414"/>
      <c r="C436" s="421"/>
      <c r="D436" s="421"/>
      <c r="E436" s="1761"/>
    </row>
    <row r="437" spans="2:7" s="474" customFormat="1" ht="15.6" x14ac:dyDescent="0.3">
      <c r="B437" s="1414"/>
      <c r="C437" s="421"/>
      <c r="D437" s="421"/>
      <c r="E437" s="1761"/>
    </row>
    <row r="438" spans="2:7" s="474" customFormat="1" ht="15.6" x14ac:dyDescent="0.3">
      <c r="B438" s="1414" t="s">
        <v>2322</v>
      </c>
      <c r="E438" s="1417"/>
    </row>
    <row r="439" spans="2:7" s="474" customFormat="1" ht="46.8" x14ac:dyDescent="0.3">
      <c r="B439" s="1418"/>
      <c r="C439" s="925" t="str">
        <f>C416</f>
        <v xml:space="preserve">              Deposits with banks and others</v>
      </c>
      <c r="D439" s="403" t="str">
        <f>D432</f>
        <v>For the year ended March 31, 2023</v>
      </c>
      <c r="E439" s="1400" t="s">
        <v>2371</v>
      </c>
      <c r="F439" s="1715"/>
      <c r="G439" s="1715"/>
    </row>
    <row r="440" spans="2:7" s="474" customFormat="1" ht="15.6" x14ac:dyDescent="0.3">
      <c r="B440" s="1404"/>
      <c r="C440" s="409" t="s">
        <v>1422</v>
      </c>
      <c r="D440" s="408">
        <v>0</v>
      </c>
      <c r="E440" s="1412">
        <v>0</v>
      </c>
      <c r="F440" s="915"/>
      <c r="G440" s="915"/>
    </row>
    <row r="441" spans="2:7" s="474" customFormat="1" ht="15.6" x14ac:dyDescent="0.3">
      <c r="B441" s="1404"/>
      <c r="C441" s="409" t="s">
        <v>1421</v>
      </c>
      <c r="D441" s="408">
        <v>0</v>
      </c>
      <c r="E441" s="1412">
        <v>0</v>
      </c>
      <c r="F441" s="915"/>
      <c r="G441" s="1722"/>
    </row>
    <row r="442" spans="2:7" s="474" customFormat="1" ht="15.6" x14ac:dyDescent="0.3">
      <c r="B442" s="1415"/>
      <c r="C442" s="948" t="s">
        <v>1926</v>
      </c>
      <c r="D442" s="406">
        <f>SUM(D440:D441)</f>
        <v>0</v>
      </c>
      <c r="E442" s="1416">
        <v>0</v>
      </c>
      <c r="F442" s="398"/>
      <c r="G442" s="398"/>
    </row>
    <row r="443" spans="2:7" s="474" customFormat="1" ht="15.6" x14ac:dyDescent="0.3">
      <c r="B443" s="1414"/>
      <c r="C443" s="421"/>
      <c r="D443" s="421"/>
      <c r="E443" s="1761"/>
      <c r="F443" s="398"/>
      <c r="G443" s="398"/>
    </row>
    <row r="444" spans="2:7" s="337" customFormat="1" ht="15.6" x14ac:dyDescent="0.3">
      <c r="B444" s="1414" t="s">
        <v>2323</v>
      </c>
      <c r="E444" s="1411"/>
      <c r="F444" s="407"/>
      <c r="G444" s="399"/>
    </row>
    <row r="445" spans="2:7" s="337" customFormat="1" ht="46.8" x14ac:dyDescent="0.3">
      <c r="B445" s="1399"/>
      <c r="C445" s="925" t="str">
        <f>C409</f>
        <v>Particualrs</v>
      </c>
      <c r="D445" s="403" t="str">
        <f>D370</f>
        <v>For the year ended March 31, 2023</v>
      </c>
      <c r="E445" s="1400" t="s">
        <v>2371</v>
      </c>
      <c r="F445" s="1715"/>
      <c r="G445" s="1715"/>
    </row>
    <row r="446" spans="2:7" s="337" customFormat="1" ht="15.6" x14ac:dyDescent="0.3">
      <c r="B446" s="1401"/>
      <c r="C446" s="923" t="s">
        <v>1875</v>
      </c>
      <c r="D446" s="411"/>
      <c r="E446" s="1428"/>
      <c r="F446" s="407"/>
      <c r="G446" s="399"/>
    </row>
    <row r="447" spans="2:7" s="337" customFormat="1" ht="15.6" x14ac:dyDescent="0.3">
      <c r="B447" s="1401"/>
      <c r="C447" s="409" t="s">
        <v>1876</v>
      </c>
      <c r="D447" s="411">
        <f>E449</f>
        <v>0</v>
      </c>
      <c r="E447" s="1428">
        <v>259478.3</v>
      </c>
      <c r="F447" s="407"/>
      <c r="G447" s="1727"/>
    </row>
    <row r="448" spans="2:7" s="337" customFormat="1" ht="15.6" x14ac:dyDescent="0.3">
      <c r="B448" s="1401"/>
      <c r="C448" s="409" t="s">
        <v>1877</v>
      </c>
      <c r="D448" s="411"/>
      <c r="E448" s="1428">
        <v>28487163.710000001</v>
      </c>
      <c r="F448" s="407"/>
      <c r="G448" s="1727"/>
    </row>
    <row r="449" spans="2:7" s="337" customFormat="1" ht="15.6" x14ac:dyDescent="0.3">
      <c r="B449" s="1401"/>
      <c r="C449" s="409" t="s">
        <v>1878</v>
      </c>
      <c r="D449" s="411"/>
      <c r="E449" s="1428"/>
      <c r="F449" s="407"/>
      <c r="G449" s="1727"/>
    </row>
    <row r="450" spans="2:7" s="474" customFormat="1" ht="16.2" thickBot="1" x14ac:dyDescent="0.35">
      <c r="B450" s="1404"/>
      <c r="C450" s="928" t="s">
        <v>1879</v>
      </c>
      <c r="D450" s="911">
        <f>D447+D448-D449</f>
        <v>0</v>
      </c>
      <c r="E450" s="1408">
        <v>28746642.010000002</v>
      </c>
      <c r="F450" s="398"/>
      <c r="G450" s="398"/>
    </row>
    <row r="451" spans="2:7" s="337" customFormat="1" ht="33.75" customHeight="1" thickTop="1" x14ac:dyDescent="0.3">
      <c r="B451" s="1401"/>
      <c r="C451" s="1977" t="s">
        <v>2101</v>
      </c>
      <c r="D451" s="1978"/>
      <c r="E451" s="1979"/>
      <c r="F451" s="1724"/>
      <c r="G451" s="1724"/>
    </row>
    <row r="452" spans="2:7" s="337" customFormat="1" ht="15.6" x14ac:dyDescent="0.3">
      <c r="B452" s="1401"/>
      <c r="C452" s="409" t="s">
        <v>1880</v>
      </c>
      <c r="D452" s="927"/>
      <c r="E452" s="1762"/>
      <c r="F452" s="407"/>
      <c r="G452" s="407"/>
    </row>
    <row r="453" spans="2:7" s="337" customFormat="1" ht="15.6" x14ac:dyDescent="0.3">
      <c r="B453" s="1401"/>
      <c r="C453" s="409" t="s">
        <v>1881</v>
      </c>
      <c r="D453" s="411">
        <v>0</v>
      </c>
      <c r="E453" s="1428">
        <v>0</v>
      </c>
      <c r="F453" s="407"/>
      <c r="G453" s="407"/>
    </row>
    <row r="454" spans="2:7" s="337" customFormat="1" ht="15.6" x14ac:dyDescent="0.3">
      <c r="B454" s="1401"/>
      <c r="C454" s="409" t="s">
        <v>1882</v>
      </c>
      <c r="D454" s="411">
        <v>0</v>
      </c>
      <c r="E454" s="1428">
        <v>0</v>
      </c>
      <c r="F454" s="407"/>
      <c r="G454" s="407"/>
    </row>
    <row r="455" spans="2:7" s="337" customFormat="1" ht="15.6" x14ac:dyDescent="0.3">
      <c r="B455" s="1401"/>
      <c r="C455" s="409" t="s">
        <v>1883</v>
      </c>
      <c r="D455" s="926">
        <v>0</v>
      </c>
      <c r="E455" s="1763">
        <v>0</v>
      </c>
      <c r="F455" s="407"/>
      <c r="G455" s="407"/>
    </row>
    <row r="456" spans="2:7" s="474" customFormat="1" ht="16.2" thickBot="1" x14ac:dyDescent="0.35">
      <c r="B456" s="1404"/>
      <c r="C456" s="923" t="s">
        <v>1884</v>
      </c>
      <c r="D456" s="911">
        <f>D453+D454-D455</f>
        <v>0</v>
      </c>
      <c r="E456" s="1408">
        <v>0</v>
      </c>
      <c r="F456" s="398"/>
      <c r="G456" s="398"/>
    </row>
    <row r="457" spans="2:7" s="337" customFormat="1" ht="16.8" thickTop="1" thickBot="1" x14ac:dyDescent="0.35">
      <c r="B457" s="1410"/>
      <c r="C457" s="929" t="s">
        <v>1885</v>
      </c>
      <c r="D457" s="1524">
        <f>D450+D456</f>
        <v>0</v>
      </c>
      <c r="E457" s="1525">
        <v>28746642.010000002</v>
      </c>
      <c r="F457" s="398"/>
      <c r="G457" s="398"/>
    </row>
    <row r="458" spans="2:7" s="337" customFormat="1" ht="16.2" thickTop="1" x14ac:dyDescent="0.3">
      <c r="B458" s="1398"/>
      <c r="C458" s="399"/>
      <c r="D458" s="399"/>
      <c r="E458" s="1542"/>
      <c r="F458" s="407"/>
      <c r="G458" s="399"/>
    </row>
    <row r="459" spans="2:7" s="337" customFormat="1" ht="15.6" x14ac:dyDescent="0.3">
      <c r="B459" s="1414" t="s">
        <v>2324</v>
      </c>
      <c r="E459" s="1411"/>
      <c r="F459" s="407"/>
      <c r="G459" s="399"/>
    </row>
    <row r="460" spans="2:7" s="474" customFormat="1" ht="46.8" x14ac:dyDescent="0.3">
      <c r="B460" s="1418"/>
      <c r="C460" s="925" t="str">
        <f>C445</f>
        <v>Particualrs</v>
      </c>
      <c r="D460" s="932" t="str">
        <f>D445</f>
        <v>For the year ended March 31, 2023</v>
      </c>
      <c r="E460" s="1764" t="s">
        <v>2371</v>
      </c>
      <c r="F460" s="1728"/>
      <c r="G460" s="1728"/>
    </row>
    <row r="461" spans="2:7" s="337" customFormat="1" ht="15.6" x14ac:dyDescent="0.3">
      <c r="B461" s="1401"/>
      <c r="C461" s="930" t="s">
        <v>1886</v>
      </c>
      <c r="D461" s="938">
        <v>0</v>
      </c>
      <c r="E461" s="1420">
        <v>0</v>
      </c>
      <c r="F461" s="805"/>
      <c r="G461" s="805"/>
    </row>
    <row r="462" spans="2:7" s="337" customFormat="1" ht="15.6" x14ac:dyDescent="0.3">
      <c r="B462" s="1401"/>
      <c r="C462" s="409" t="s">
        <v>265</v>
      </c>
      <c r="D462" s="833">
        <v>0</v>
      </c>
      <c r="E462" s="1421">
        <v>0</v>
      </c>
      <c r="F462" s="805"/>
      <c r="G462" s="805"/>
    </row>
    <row r="463" spans="2:7" s="337" customFormat="1" ht="15.6" x14ac:dyDescent="0.3">
      <c r="B463" s="1401"/>
      <c r="C463" s="409" t="s">
        <v>1887</v>
      </c>
      <c r="D463" s="833">
        <v>0</v>
      </c>
      <c r="E463" s="1421">
        <v>0</v>
      </c>
      <c r="F463" s="805"/>
      <c r="G463" s="805"/>
    </row>
    <row r="464" spans="2:7" s="337" customFormat="1" ht="15.6" x14ac:dyDescent="0.3">
      <c r="B464" s="1401"/>
      <c r="C464" s="409" t="s">
        <v>1888</v>
      </c>
      <c r="D464" s="833">
        <v>0</v>
      </c>
      <c r="E464" s="1421">
        <v>0</v>
      </c>
      <c r="F464" s="805"/>
      <c r="G464" s="805"/>
    </row>
    <row r="465" spans="2:7" s="337" customFormat="1" ht="15.6" x14ac:dyDescent="0.3">
      <c r="B465" s="1401"/>
      <c r="C465" s="409" t="s">
        <v>1892</v>
      </c>
      <c r="D465" s="939">
        <v>0</v>
      </c>
      <c r="E465" s="1422">
        <v>0</v>
      </c>
      <c r="F465" s="805"/>
      <c r="G465" s="805"/>
    </row>
    <row r="466" spans="2:7" s="474" customFormat="1" ht="16.2" thickBot="1" x14ac:dyDescent="0.35">
      <c r="B466" s="1404"/>
      <c r="C466" s="934" t="s">
        <v>1889</v>
      </c>
      <c r="D466" s="940">
        <f>SUM(D461:D465)</f>
        <v>0</v>
      </c>
      <c r="E466" s="1423">
        <v>0</v>
      </c>
      <c r="F466" s="1729"/>
      <c r="G466" s="1729"/>
    </row>
    <row r="467" spans="2:7" s="474" customFormat="1" ht="16.2" thickTop="1" x14ac:dyDescent="0.3">
      <c r="B467" s="1404"/>
      <c r="C467" s="923" t="s">
        <v>1628</v>
      </c>
      <c r="D467" s="941"/>
      <c r="E467" s="1424"/>
      <c r="F467" s="1729"/>
      <c r="G467" s="1729"/>
    </row>
    <row r="468" spans="2:7" s="337" customFormat="1" ht="15.6" x14ac:dyDescent="0.3">
      <c r="B468" s="1401"/>
      <c r="C468" s="409" t="s">
        <v>265</v>
      </c>
      <c r="D468" s="833">
        <f>4264423+2584000+3000000-1000000</f>
        <v>8848423</v>
      </c>
      <c r="E468" s="1421">
        <v>0</v>
      </c>
      <c r="F468" s="805"/>
      <c r="G468" s="805"/>
    </row>
    <row r="469" spans="2:7" s="337" customFormat="1" ht="15.6" x14ac:dyDescent="0.3">
      <c r="B469" s="1401"/>
      <c r="C469" s="409" t="s">
        <v>1887</v>
      </c>
      <c r="D469" s="833">
        <v>0</v>
      </c>
      <c r="E469" s="1421">
        <v>0</v>
      </c>
      <c r="F469" s="805"/>
      <c r="G469" s="805"/>
    </row>
    <row r="470" spans="2:7" s="337" customFormat="1" ht="15.6" x14ac:dyDescent="0.3">
      <c r="B470" s="1401"/>
      <c r="C470" s="409" t="s">
        <v>1888</v>
      </c>
      <c r="D470" s="833">
        <v>0</v>
      </c>
      <c r="E470" s="1421">
        <v>0</v>
      </c>
      <c r="F470" s="805"/>
      <c r="G470" s="805"/>
    </row>
    <row r="471" spans="2:7" s="337" customFormat="1" ht="15.6" x14ac:dyDescent="0.3">
      <c r="B471" s="1401"/>
      <c r="C471" s="409" t="s">
        <v>1892</v>
      </c>
      <c r="D471" s="833">
        <v>0</v>
      </c>
      <c r="E471" s="1421">
        <v>0</v>
      </c>
      <c r="F471" s="805"/>
      <c r="G471" s="805"/>
    </row>
    <row r="472" spans="2:7" s="337" customFormat="1" ht="16.2" thickBot="1" x14ac:dyDescent="0.35">
      <c r="B472" s="1401"/>
      <c r="C472" s="933" t="s">
        <v>1890</v>
      </c>
      <c r="D472" s="942">
        <f>SUM(D468:D471)</f>
        <v>8848423</v>
      </c>
      <c r="E472" s="1425">
        <v>0</v>
      </c>
      <c r="F472" s="805"/>
      <c r="G472" s="805"/>
    </row>
    <row r="473" spans="2:7" s="474" customFormat="1" ht="31.8" thickTop="1" x14ac:dyDescent="0.3">
      <c r="B473" s="1415"/>
      <c r="C473" s="936" t="s">
        <v>1891</v>
      </c>
      <c r="D473" s="943">
        <f>D466-D472</f>
        <v>-8848423</v>
      </c>
      <c r="E473" s="1426">
        <v>0</v>
      </c>
      <c r="F473" s="1729"/>
      <c r="G473" s="1729"/>
    </row>
    <row r="474" spans="2:7" s="337" customFormat="1" ht="15.6" x14ac:dyDescent="0.3">
      <c r="B474" s="1398"/>
      <c r="C474" s="399"/>
      <c r="D474" s="399"/>
      <c r="E474" s="1542"/>
    </row>
    <row r="475" spans="2:7" s="337" customFormat="1" ht="15.6" x14ac:dyDescent="0.3">
      <c r="B475" s="1398"/>
      <c r="C475" s="399"/>
      <c r="D475" s="399"/>
      <c r="E475" s="1542"/>
    </row>
    <row r="476" spans="2:7" s="337" customFormat="1" ht="15.6" x14ac:dyDescent="0.3">
      <c r="B476" s="1414" t="s">
        <v>2325</v>
      </c>
      <c r="E476" s="1411"/>
      <c r="F476" s="407"/>
      <c r="G476" s="399"/>
    </row>
    <row r="477" spans="2:7" s="337" customFormat="1" ht="46.8" x14ac:dyDescent="0.3">
      <c r="B477" s="1418"/>
      <c r="C477" s="925" t="str">
        <f>C460</f>
        <v>Particualrs</v>
      </c>
      <c r="D477" s="932" t="str">
        <f>+D460</f>
        <v>For the year ended March 31, 2023</v>
      </c>
      <c r="E477" s="1764" t="s">
        <v>2371</v>
      </c>
      <c r="F477" s="1728"/>
      <c r="G477" s="1728"/>
    </row>
    <row r="478" spans="2:7" s="337" customFormat="1" ht="15.6" x14ac:dyDescent="0.3">
      <c r="B478" s="1401"/>
      <c r="C478" s="930" t="s">
        <v>2212</v>
      </c>
      <c r="D478" s="938">
        <v>0</v>
      </c>
      <c r="E478" s="1420">
        <v>66634</v>
      </c>
      <c r="F478" s="805"/>
      <c r="G478" s="805"/>
    </row>
    <row r="479" spans="2:7" s="337" customFormat="1" ht="16.2" thickBot="1" x14ac:dyDescent="0.35">
      <c r="B479" s="1415"/>
      <c r="C479" s="1526" t="s">
        <v>2009</v>
      </c>
      <c r="D479" s="940">
        <f>SUM(D478:D478)</f>
        <v>0</v>
      </c>
      <c r="E479" s="1423">
        <v>66634</v>
      </c>
      <c r="F479" s="1729"/>
      <c r="G479" s="1729"/>
    </row>
    <row r="480" spans="2:7" s="337" customFormat="1" ht="16.2" thickTop="1" x14ac:dyDescent="0.3">
      <c r="B480" s="1398"/>
      <c r="C480" s="399"/>
      <c r="D480" s="399"/>
      <c r="E480" s="1542"/>
    </row>
    <row r="481" spans="2:7" s="337" customFormat="1" ht="15.6" x14ac:dyDescent="0.3">
      <c r="B481" s="1398"/>
      <c r="C481" s="399"/>
      <c r="D481" s="399"/>
      <c r="E481" s="1542"/>
    </row>
    <row r="482" spans="2:7" s="337" customFormat="1" ht="15.6" x14ac:dyDescent="0.3">
      <c r="B482" s="1414" t="s">
        <v>2326</v>
      </c>
      <c r="E482" s="1411"/>
    </row>
    <row r="483" spans="2:7" s="337" customFormat="1" ht="46.8" x14ac:dyDescent="0.3">
      <c r="B483" s="1399"/>
      <c r="C483" s="925" t="s">
        <v>215</v>
      </c>
      <c r="D483" s="932" t="str">
        <f>D460</f>
        <v>For the year ended March 31, 2023</v>
      </c>
      <c r="E483" s="1764" t="s">
        <v>2371</v>
      </c>
      <c r="F483" s="1728"/>
      <c r="G483" s="1728"/>
    </row>
    <row r="484" spans="2:7" s="337" customFormat="1" ht="15.6" x14ac:dyDescent="0.3">
      <c r="B484" s="1401"/>
      <c r="C484" s="908" t="s">
        <v>2081</v>
      </c>
      <c r="D484" s="945">
        <v>0</v>
      </c>
      <c r="E484" s="1427">
        <v>150000</v>
      </c>
      <c r="F484" s="1730"/>
      <c r="G484" s="1730"/>
    </row>
    <row r="485" spans="2:7" s="337" customFormat="1" ht="15.6" x14ac:dyDescent="0.3">
      <c r="B485" s="1401"/>
      <c r="C485" s="908" t="s">
        <v>268</v>
      </c>
      <c r="D485" s="945">
        <v>84156</v>
      </c>
      <c r="E485" s="1427">
        <v>486000</v>
      </c>
      <c r="F485" s="1730"/>
      <c r="G485" s="1730"/>
    </row>
    <row r="486" spans="2:7" s="337" customFormat="1" ht="15.6" x14ac:dyDescent="0.3">
      <c r="B486" s="1401"/>
      <c r="C486" s="908" t="s">
        <v>269</v>
      </c>
      <c r="D486" s="945">
        <v>0</v>
      </c>
      <c r="E486" s="1427">
        <v>0</v>
      </c>
      <c r="F486" s="1730"/>
      <c r="G486" s="1730"/>
    </row>
    <row r="487" spans="2:7" s="337" customFormat="1" ht="15.6" x14ac:dyDescent="0.3">
      <c r="B487" s="1401"/>
      <c r="C487" s="908" t="s">
        <v>1893</v>
      </c>
      <c r="D487" s="945">
        <v>0</v>
      </c>
      <c r="E487" s="1427">
        <v>0</v>
      </c>
      <c r="F487" s="1730"/>
      <c r="G487" s="1730"/>
    </row>
    <row r="488" spans="2:7" s="337" customFormat="1" ht="15.6" x14ac:dyDescent="0.3">
      <c r="B488" s="1401"/>
      <c r="C488" s="908" t="s">
        <v>434</v>
      </c>
      <c r="D488" s="945">
        <v>0</v>
      </c>
      <c r="E488" s="1427">
        <v>0</v>
      </c>
      <c r="F488" s="1730"/>
      <c r="G488" s="1730"/>
    </row>
    <row r="489" spans="2:7" s="337" customFormat="1" ht="15.6" x14ac:dyDescent="0.3">
      <c r="B489" s="1401"/>
      <c r="C489" s="908" t="s">
        <v>1894</v>
      </c>
      <c r="D489" s="945">
        <v>0</v>
      </c>
      <c r="E489" s="1427">
        <v>0</v>
      </c>
      <c r="F489" s="1730"/>
      <c r="G489" s="1730"/>
    </row>
    <row r="490" spans="2:7" s="337" customFormat="1" ht="15.6" x14ac:dyDescent="0.3">
      <c r="B490" s="1401"/>
      <c r="C490" s="409" t="s">
        <v>1895</v>
      </c>
      <c r="D490" s="945">
        <v>0</v>
      </c>
      <c r="E490" s="1427">
        <v>0</v>
      </c>
      <c r="F490" s="1730"/>
      <c r="G490" s="1730"/>
    </row>
    <row r="491" spans="2:7" s="337" customFormat="1" ht="15.6" x14ac:dyDescent="0.3">
      <c r="B491" s="1401"/>
      <c r="C491" s="409" t="s">
        <v>1896</v>
      </c>
      <c r="D491" s="945">
        <v>0</v>
      </c>
      <c r="E491" s="1427">
        <v>0</v>
      </c>
      <c r="F491" s="1730"/>
      <c r="G491" s="1730"/>
    </row>
    <row r="492" spans="2:7" s="337" customFormat="1" ht="15.6" x14ac:dyDescent="0.3">
      <c r="B492" s="1401"/>
      <c r="C492" s="409" t="s">
        <v>1897</v>
      </c>
      <c r="D492" s="411">
        <v>0</v>
      </c>
      <c r="E492" s="1428">
        <v>0</v>
      </c>
      <c r="F492" s="407"/>
      <c r="G492" s="407"/>
    </row>
    <row r="493" spans="2:7" s="474" customFormat="1" ht="16.2" thickBot="1" x14ac:dyDescent="0.35">
      <c r="B493" s="1415"/>
      <c r="C493" s="944" t="s">
        <v>1898</v>
      </c>
      <c r="D493" s="911">
        <f>SUM(D484:D492)</f>
        <v>84156</v>
      </c>
      <c r="E493" s="1408">
        <v>636000</v>
      </c>
      <c r="F493" s="398"/>
      <c r="G493" s="398"/>
    </row>
    <row r="494" spans="2:7" s="337" customFormat="1" ht="16.2" thickTop="1" x14ac:dyDescent="0.3">
      <c r="B494" s="1398"/>
      <c r="C494" s="399"/>
      <c r="D494" s="399"/>
      <c r="E494" s="1542"/>
      <c r="F494" s="407"/>
      <c r="G494" s="399"/>
    </row>
    <row r="495" spans="2:7" s="337" customFormat="1" ht="15.6" x14ac:dyDescent="0.3">
      <c r="B495" s="1414" t="s">
        <v>2327</v>
      </c>
      <c r="E495" s="1411"/>
      <c r="F495" s="407"/>
      <c r="G495" s="399"/>
    </row>
    <row r="496" spans="2:7" s="337" customFormat="1" ht="46.8" x14ac:dyDescent="0.3">
      <c r="B496" s="1399"/>
      <c r="C496" s="925" t="s">
        <v>215</v>
      </c>
      <c r="D496" s="932" t="str">
        <f>D483</f>
        <v>For the year ended March 31, 2023</v>
      </c>
      <c r="E496" s="1764" t="s">
        <v>2371</v>
      </c>
      <c r="F496" s="1728"/>
      <c r="G496" s="1728"/>
    </row>
    <row r="497" spans="2:8" s="337" customFormat="1" ht="31.2" x14ac:dyDescent="0.3">
      <c r="B497" s="1401"/>
      <c r="C497" s="947" t="s">
        <v>1900</v>
      </c>
      <c r="D497" s="411"/>
      <c r="E497" s="1428"/>
      <c r="F497" s="407"/>
      <c r="G497" s="399"/>
    </row>
    <row r="498" spans="2:8" s="337" customFormat="1" ht="15.6" x14ac:dyDescent="0.3">
      <c r="B498" s="1401"/>
      <c r="C498" s="409" t="s">
        <v>1901</v>
      </c>
      <c r="D498" s="410">
        <v>0</v>
      </c>
      <c r="E498" s="1765">
        <v>0</v>
      </c>
      <c r="F498" s="1731"/>
      <c r="G498" s="1722"/>
    </row>
    <row r="499" spans="2:8" s="337" customFormat="1" ht="15.6" x14ac:dyDescent="0.3">
      <c r="B499" s="1401"/>
      <c r="C499" s="409" t="s">
        <v>1902</v>
      </c>
      <c r="D499" s="411">
        <v>0</v>
      </c>
      <c r="E499" s="1428">
        <v>0</v>
      </c>
      <c r="F499" s="407"/>
      <c r="G499" s="1732"/>
      <c r="H499" s="1435"/>
    </row>
    <row r="500" spans="2:8" s="337" customFormat="1" ht="15.6" x14ac:dyDescent="0.3">
      <c r="B500" s="1401"/>
      <c r="C500" s="409" t="s">
        <v>1927</v>
      </c>
      <c r="D500" s="410">
        <v>49856</v>
      </c>
      <c r="E500" s="1765">
        <v>9861.89</v>
      </c>
      <c r="F500" s="1731"/>
      <c r="G500" s="1722"/>
      <c r="H500" s="1733"/>
    </row>
    <row r="501" spans="2:8" s="337" customFormat="1" ht="15.6" x14ac:dyDescent="0.3">
      <c r="B501" s="1401"/>
      <c r="C501" s="409" t="s">
        <v>1903</v>
      </c>
      <c r="D501" s="411"/>
      <c r="E501" s="1428"/>
      <c r="F501" s="407"/>
      <c r="G501" s="399"/>
    </row>
    <row r="502" spans="2:8" s="474" customFormat="1" ht="31.8" thickBot="1" x14ac:dyDescent="0.35">
      <c r="B502" s="1404"/>
      <c r="C502" s="947" t="s">
        <v>1904</v>
      </c>
      <c r="D502" s="911">
        <f>SUM(D498:D500)-D501</f>
        <v>49856</v>
      </c>
      <c r="E502" s="1408">
        <v>9861.89</v>
      </c>
      <c r="F502" s="398"/>
      <c r="G502" s="398"/>
    </row>
    <row r="503" spans="2:8" s="337" customFormat="1" ht="16.2" thickTop="1" x14ac:dyDescent="0.3">
      <c r="B503" s="1401"/>
      <c r="C503" s="409" t="s">
        <v>1905</v>
      </c>
      <c r="D503" s="937">
        <v>0</v>
      </c>
      <c r="E503" s="1766">
        <v>0</v>
      </c>
      <c r="F503" s="1732"/>
      <c r="G503" s="1732"/>
    </row>
    <row r="504" spans="2:8" s="337" customFormat="1" ht="15.6" x14ac:dyDescent="0.3">
      <c r="B504" s="1401"/>
      <c r="C504" s="409" t="s">
        <v>1906</v>
      </c>
      <c r="D504" s="937">
        <v>0</v>
      </c>
      <c r="E504" s="1766">
        <v>0</v>
      </c>
      <c r="F504" s="1732"/>
      <c r="G504" s="1732"/>
    </row>
    <row r="505" spans="2:8" s="337" customFormat="1" ht="15.6" x14ac:dyDescent="0.3">
      <c r="B505" s="1401"/>
      <c r="C505" s="409" t="s">
        <v>1907</v>
      </c>
      <c r="D505" s="937">
        <v>0</v>
      </c>
      <c r="E505" s="1766">
        <v>0</v>
      </c>
      <c r="F505" s="1732"/>
      <c r="G505" s="1732"/>
    </row>
    <row r="506" spans="2:8" s="337" customFormat="1" ht="46.8" x14ac:dyDescent="0.3">
      <c r="B506" s="1401"/>
      <c r="C506" s="935" t="s">
        <v>1908</v>
      </c>
      <c r="D506" s="937">
        <v>0</v>
      </c>
      <c r="E506" s="1766">
        <v>0</v>
      </c>
      <c r="F506" s="1732"/>
      <c r="G506" s="1732"/>
    </row>
    <row r="507" spans="2:8" s="337" customFormat="1" ht="46.8" x14ac:dyDescent="0.3">
      <c r="B507" s="1401"/>
      <c r="C507" s="935" t="s">
        <v>1909</v>
      </c>
      <c r="D507" s="411">
        <v>0</v>
      </c>
      <c r="E507" s="1428">
        <v>0</v>
      </c>
      <c r="F507" s="407"/>
      <c r="G507" s="1732"/>
    </row>
    <row r="508" spans="2:8" s="474" customFormat="1" ht="16.2" thickBot="1" x14ac:dyDescent="0.35">
      <c r="B508" s="1415"/>
      <c r="C508" s="946" t="s">
        <v>1899</v>
      </c>
      <c r="D508" s="911">
        <f>SUM(D502:D507)</f>
        <v>49856</v>
      </c>
      <c r="E508" s="1408">
        <v>9861.89</v>
      </c>
      <c r="F508" s="398"/>
      <c r="G508" s="398"/>
    </row>
    <row r="509" spans="2:8" s="337" customFormat="1" ht="16.2" thickTop="1" x14ac:dyDescent="0.3">
      <c r="B509" s="1398"/>
      <c r="C509" s="399"/>
      <c r="D509" s="399"/>
      <c r="E509" s="1542"/>
      <c r="F509" s="407"/>
      <c r="G509" s="399"/>
    </row>
    <row r="510" spans="2:8" s="337" customFormat="1" ht="15.6" x14ac:dyDescent="0.3">
      <c r="B510" s="1398"/>
      <c r="C510" s="399"/>
      <c r="D510" s="399"/>
      <c r="E510" s="1542"/>
      <c r="F510" s="407"/>
      <c r="G510" s="399"/>
    </row>
    <row r="511" spans="2:8" s="337" customFormat="1" ht="15.6" x14ac:dyDescent="0.3">
      <c r="B511" s="1414" t="s">
        <v>2328</v>
      </c>
      <c r="E511" s="1411"/>
      <c r="F511" s="407"/>
      <c r="G511" s="399"/>
    </row>
    <row r="512" spans="2:8" s="337" customFormat="1" ht="46.8" x14ac:dyDescent="0.3">
      <c r="B512" s="1399"/>
      <c r="C512" s="925" t="s">
        <v>215</v>
      </c>
      <c r="D512" s="932" t="str">
        <f>D496</f>
        <v>For the year ended March 31, 2023</v>
      </c>
      <c r="E512" s="1764" t="s">
        <v>2371</v>
      </c>
      <c r="F512" s="1728"/>
      <c r="G512" s="1728"/>
    </row>
    <row r="513" spans="2:10" s="337" customFormat="1" ht="15.6" x14ac:dyDescent="0.3">
      <c r="B513" s="1401"/>
      <c r="C513" s="409" t="s">
        <v>1910</v>
      </c>
      <c r="D513" s="411">
        <v>0</v>
      </c>
      <c r="E513" s="1428">
        <v>0</v>
      </c>
      <c r="F513" s="407"/>
      <c r="G513" s="805"/>
    </row>
    <row r="514" spans="2:10" s="337" customFormat="1" ht="15.6" x14ac:dyDescent="0.3">
      <c r="B514" s="1401"/>
      <c r="C514" s="409" t="s">
        <v>1911</v>
      </c>
      <c r="D514" s="937">
        <v>0</v>
      </c>
      <c r="E514" s="1766">
        <v>0</v>
      </c>
      <c r="F514" s="1732"/>
      <c r="G514" s="1732"/>
    </row>
    <row r="515" spans="2:10" s="337" customFormat="1" ht="15.6" x14ac:dyDescent="0.3">
      <c r="B515" s="1401"/>
      <c r="C515" s="409" t="s">
        <v>1912</v>
      </c>
      <c r="D515" s="411">
        <v>0</v>
      </c>
      <c r="E515" s="1428">
        <v>0</v>
      </c>
      <c r="F515" s="407"/>
      <c r="G515" s="1732"/>
    </row>
    <row r="516" spans="2:10" s="474" customFormat="1" ht="16.2" thickBot="1" x14ac:dyDescent="0.35">
      <c r="B516" s="1415"/>
      <c r="C516" s="929" t="s">
        <v>1913</v>
      </c>
      <c r="D516" s="911">
        <f>SUM(D513:D515)</f>
        <v>0</v>
      </c>
      <c r="E516" s="1408">
        <v>0</v>
      </c>
      <c r="F516" s="398"/>
      <c r="G516" s="398"/>
    </row>
    <row r="517" spans="2:10" s="337" customFormat="1" ht="16.2" thickTop="1" x14ac:dyDescent="0.3">
      <c r="B517" s="1398"/>
      <c r="C517" s="399"/>
      <c r="D517" s="399"/>
      <c r="E517" s="1542"/>
      <c r="F517" s="407"/>
      <c r="G517" s="399"/>
    </row>
    <row r="518" spans="2:10" s="337" customFormat="1" ht="15.6" x14ac:dyDescent="0.3">
      <c r="B518" s="1414" t="s">
        <v>2329</v>
      </c>
      <c r="E518" s="1411"/>
      <c r="F518" s="398"/>
      <c r="G518" s="1720"/>
    </row>
    <row r="519" spans="2:10" s="337" customFormat="1" ht="46.8" x14ac:dyDescent="0.3">
      <c r="B519" s="1399"/>
      <c r="C519" s="402" t="str">
        <f>C512</f>
        <v>Particulars</v>
      </c>
      <c r="D519" s="403" t="str">
        <f>D370</f>
        <v>For the year ended March 31, 2023</v>
      </c>
      <c r="E519" s="1400" t="s">
        <v>2371</v>
      </c>
      <c r="F519" s="1715"/>
      <c r="G519" s="1715"/>
    </row>
    <row r="520" spans="2:10" s="337" customFormat="1" ht="15.6" x14ac:dyDescent="0.3">
      <c r="B520" s="1401"/>
      <c r="C520" s="412" t="s">
        <v>270</v>
      </c>
      <c r="D520" s="413">
        <f>'Capital expenses and normal'!R56</f>
        <v>100000</v>
      </c>
      <c r="E520" s="1429">
        <v>100000</v>
      </c>
      <c r="F520" s="1734"/>
      <c r="G520" s="1734"/>
    </row>
    <row r="521" spans="2:10" s="337" customFormat="1" ht="15.6" x14ac:dyDescent="0.3">
      <c r="B521" s="1401"/>
      <c r="C521" s="414" t="s">
        <v>2083</v>
      </c>
      <c r="D521" s="415">
        <v>0</v>
      </c>
      <c r="E521" s="1767">
        <v>22360</v>
      </c>
      <c r="F521" s="1735"/>
      <c r="G521" s="1721"/>
    </row>
    <row r="522" spans="2:10" s="337" customFormat="1" ht="15.6" x14ac:dyDescent="0.3">
      <c r="B522" s="1401"/>
      <c r="C522" s="414" t="s">
        <v>2203</v>
      </c>
      <c r="D522" s="415">
        <v>0</v>
      </c>
      <c r="E522" s="1767">
        <v>0</v>
      </c>
      <c r="F522" s="1735"/>
      <c r="G522" s="1734"/>
    </row>
    <row r="523" spans="2:10" s="337" customFormat="1" ht="15.6" x14ac:dyDescent="0.3">
      <c r="B523" s="1401"/>
      <c r="C523" s="412" t="s">
        <v>2082</v>
      </c>
      <c r="D523" s="415">
        <v>0</v>
      </c>
      <c r="E523" s="1767">
        <v>0</v>
      </c>
      <c r="F523" s="1735"/>
      <c r="G523" s="1734"/>
    </row>
    <row r="524" spans="2:10" s="337" customFormat="1" ht="15.6" x14ac:dyDescent="0.3">
      <c r="B524" s="1401"/>
      <c r="C524" s="416" t="s">
        <v>2245</v>
      </c>
      <c r="D524" s="417">
        <f>'Capital expenses and normal'!R72</f>
        <v>65232</v>
      </c>
      <c r="E524" s="1768">
        <v>63649</v>
      </c>
      <c r="F524" s="1736"/>
      <c r="G524" s="1737"/>
    </row>
    <row r="525" spans="2:10" s="337" customFormat="1" ht="15.6" x14ac:dyDescent="0.3">
      <c r="B525" s="1401"/>
      <c r="C525" s="412" t="s">
        <v>2086</v>
      </c>
      <c r="D525" s="415">
        <f>SUM('Capital expenses and normal'!R59:R61)</f>
        <v>335400</v>
      </c>
      <c r="E525" s="1767">
        <v>317700</v>
      </c>
      <c r="F525" s="1735"/>
      <c r="G525" s="1734"/>
    </row>
    <row r="526" spans="2:10" s="337" customFormat="1" ht="15.6" x14ac:dyDescent="0.3">
      <c r="B526" s="1401"/>
      <c r="C526" s="418" t="s">
        <v>271</v>
      </c>
      <c r="D526" s="415">
        <v>0</v>
      </c>
      <c r="E526" s="1767">
        <v>0</v>
      </c>
      <c r="F526" s="1735"/>
      <c r="G526" s="1734"/>
    </row>
    <row r="527" spans="2:10" s="337" customFormat="1" ht="15.6" x14ac:dyDescent="0.3">
      <c r="B527" s="1401"/>
      <c r="C527" s="419" t="s">
        <v>2084</v>
      </c>
      <c r="D527" s="415">
        <f>SUM('Capital expenses and normal'!R62:R62)+'Capital expenses and normal'!R73</f>
        <v>40000</v>
      </c>
      <c r="E527" s="1767">
        <v>0</v>
      </c>
      <c r="F527" s="1735"/>
      <c r="G527" s="1721"/>
      <c r="J527" s="1435"/>
    </row>
    <row r="528" spans="2:10" s="337" customFormat="1" ht="15.6" x14ac:dyDescent="0.3">
      <c r="B528" s="1401"/>
      <c r="C528" s="419" t="s">
        <v>272</v>
      </c>
      <c r="D528" s="415">
        <f>'Capital expenses and normal'!R70</f>
        <v>8291.15</v>
      </c>
      <c r="E528" s="1767">
        <v>14000</v>
      </c>
      <c r="F528" s="1735"/>
      <c r="G528" s="1721"/>
    </row>
    <row r="529" spans="2:10" s="337" customFormat="1" ht="15.6" x14ac:dyDescent="0.3">
      <c r="B529" s="1401"/>
      <c r="C529" s="418" t="s">
        <v>2085</v>
      </c>
      <c r="D529" s="415">
        <v>0</v>
      </c>
      <c r="E529" s="1767">
        <v>0</v>
      </c>
      <c r="F529" s="1735"/>
      <c r="G529" s="1721"/>
    </row>
    <row r="530" spans="2:10" s="337" customFormat="1" ht="15.6" x14ac:dyDescent="0.3">
      <c r="B530" s="1401"/>
      <c r="C530" s="419" t="s">
        <v>3737</v>
      </c>
      <c r="D530" s="415">
        <f>SUM('Capital expenses and normal'!R68:R69)+'Capital expenses and normal'!R67</f>
        <v>36841.19</v>
      </c>
      <c r="E530" s="1767">
        <v>0</v>
      </c>
      <c r="F530" s="1735"/>
      <c r="G530" s="1721"/>
    </row>
    <row r="531" spans="2:10" s="337" customFormat="1" ht="15.6" x14ac:dyDescent="0.3">
      <c r="B531" s="1401"/>
      <c r="C531" s="419" t="s">
        <v>2196</v>
      </c>
      <c r="D531" s="415">
        <v>0</v>
      </c>
      <c r="E531" s="1767">
        <v>1156921.6599999999</v>
      </c>
      <c r="F531" s="1735"/>
      <c r="G531" s="1721"/>
    </row>
    <row r="532" spans="2:10" s="337" customFormat="1" ht="15.6" x14ac:dyDescent="0.3">
      <c r="B532" s="1401"/>
      <c r="C532" s="419" t="s">
        <v>221</v>
      </c>
      <c r="D532" s="415">
        <v>0</v>
      </c>
      <c r="E532" s="1767">
        <v>18274.28</v>
      </c>
      <c r="F532" s="1735"/>
      <c r="G532" s="1721"/>
    </row>
    <row r="533" spans="2:10" s="337" customFormat="1" ht="15.6" x14ac:dyDescent="0.3">
      <c r="B533" s="1401"/>
      <c r="C533" s="419" t="s">
        <v>2294</v>
      </c>
      <c r="D533" s="415">
        <v>0</v>
      </c>
      <c r="E533" s="1767">
        <v>49863</v>
      </c>
      <c r="F533" s="1735"/>
      <c r="G533" s="1721"/>
    </row>
    <row r="534" spans="2:10" s="337" customFormat="1" ht="15.6" x14ac:dyDescent="0.3">
      <c r="B534" s="1401"/>
      <c r="C534" s="419" t="s">
        <v>2159</v>
      </c>
      <c r="D534" s="415">
        <v>0</v>
      </c>
      <c r="E534" s="1767">
        <v>0</v>
      </c>
      <c r="F534" s="1735"/>
      <c r="G534" s="1721"/>
    </row>
    <row r="535" spans="2:10" s="337" customFormat="1" ht="15.6" x14ac:dyDescent="0.3">
      <c r="B535" s="1401"/>
      <c r="C535" s="419" t="s">
        <v>2158</v>
      </c>
      <c r="D535" s="415">
        <v>0</v>
      </c>
      <c r="E535" s="1767">
        <v>0</v>
      </c>
      <c r="F535" s="1735"/>
      <c r="G535" s="1721"/>
    </row>
    <row r="536" spans="2:10" s="337" customFormat="1" ht="15.6" x14ac:dyDescent="0.3">
      <c r="B536" s="1401"/>
      <c r="C536" s="419" t="s">
        <v>2160</v>
      </c>
      <c r="D536" s="415">
        <f>SUM('Capital expenses and normal'!R63:R66)</f>
        <v>69206.59</v>
      </c>
      <c r="E536" s="1767">
        <v>0</v>
      </c>
      <c r="F536" s="1735"/>
      <c r="G536" s="1721"/>
    </row>
    <row r="537" spans="2:10" s="337" customFormat="1" ht="15.6" x14ac:dyDescent="0.3">
      <c r="B537" s="1401"/>
      <c r="C537" s="419" t="s">
        <v>2391</v>
      </c>
      <c r="D537" s="415">
        <v>0</v>
      </c>
      <c r="E537" s="1767">
        <v>287337</v>
      </c>
      <c r="F537" s="1735"/>
      <c r="G537" s="1721"/>
    </row>
    <row r="538" spans="2:10" s="337" customFormat="1" ht="15.6" x14ac:dyDescent="0.3">
      <c r="B538" s="1401"/>
      <c r="C538" s="420" t="s">
        <v>2161</v>
      </c>
      <c r="D538" s="404">
        <v>0</v>
      </c>
      <c r="E538" s="1403">
        <v>171000</v>
      </c>
      <c r="F538" s="1721"/>
      <c r="G538" s="1721"/>
    </row>
    <row r="539" spans="2:10" s="337" customFormat="1" ht="15.6" x14ac:dyDescent="0.3">
      <c r="B539" s="1401"/>
      <c r="C539" s="420" t="s">
        <v>2162</v>
      </c>
      <c r="D539" s="404">
        <v>0</v>
      </c>
      <c r="E539" s="1403">
        <v>0</v>
      </c>
      <c r="F539" s="1721"/>
      <c r="G539" s="1721"/>
    </row>
    <row r="540" spans="2:10" s="337" customFormat="1" ht="15.6" x14ac:dyDescent="0.3">
      <c r="B540" s="1401"/>
      <c r="C540" s="420" t="s">
        <v>2244</v>
      </c>
      <c r="D540" s="404">
        <f>SUM('Capital expenses and normal'!R57:R58)</f>
        <v>23519</v>
      </c>
      <c r="E540" s="1403">
        <v>792</v>
      </c>
      <c r="F540" s="1721"/>
      <c r="G540" s="1721"/>
    </row>
    <row r="541" spans="2:10" s="337" customFormat="1" ht="15.6" x14ac:dyDescent="0.3">
      <c r="B541" s="1401"/>
      <c r="C541" s="420" t="s">
        <v>2164</v>
      </c>
      <c r="D541" s="404">
        <f>'Capital expenses and normal'!R71</f>
        <v>3425</v>
      </c>
      <c r="E541" s="1403">
        <v>86487</v>
      </c>
      <c r="F541" s="1721"/>
      <c r="G541" s="1721"/>
    </row>
    <row r="542" spans="2:10" s="337" customFormat="1" ht="15.6" x14ac:dyDescent="0.3">
      <c r="B542" s="1401"/>
      <c r="C542" s="420" t="s">
        <v>2292</v>
      </c>
      <c r="D542" s="1479">
        <v>0</v>
      </c>
      <c r="E542" s="1403">
        <v>0</v>
      </c>
      <c r="F542" s="1721"/>
      <c r="G542" s="1721"/>
      <c r="J542" s="1435"/>
    </row>
    <row r="543" spans="2:10" s="337" customFormat="1" ht="15.6" x14ac:dyDescent="0.3">
      <c r="B543" s="1401"/>
      <c r="C543" s="420"/>
      <c r="D543" s="1479"/>
      <c r="E543" s="1403"/>
      <c r="F543" s="1721"/>
      <c r="G543" s="1721"/>
      <c r="J543" s="1435"/>
    </row>
    <row r="544" spans="2:10" s="337" customFormat="1" ht="15.6" x14ac:dyDescent="0.3">
      <c r="B544" s="1410"/>
      <c r="C544" s="405" t="s">
        <v>213</v>
      </c>
      <c r="D544" s="1416">
        <f>SUM(D520:D543)</f>
        <v>681914.93</v>
      </c>
      <c r="E544" s="1416">
        <v>2288383.94</v>
      </c>
      <c r="F544" s="398"/>
      <c r="G544" s="398"/>
      <c r="H544" s="1435"/>
    </row>
    <row r="545" spans="2:8" s="337" customFormat="1" ht="15.6" x14ac:dyDescent="0.3">
      <c r="B545" s="1398"/>
      <c r="C545" s="399"/>
      <c r="D545" s="399"/>
      <c r="E545" s="1542"/>
      <c r="F545" s="407"/>
      <c r="G545" s="399"/>
      <c r="H545" s="1435"/>
    </row>
    <row r="546" spans="2:8" s="337" customFormat="1" ht="15.6" x14ac:dyDescent="0.3">
      <c r="B546" s="1414" t="s">
        <v>2330</v>
      </c>
      <c r="E546" s="1411"/>
      <c r="F546" s="407"/>
      <c r="G546" s="399"/>
    </row>
    <row r="547" spans="2:8" s="337" customFormat="1" ht="46.8" x14ac:dyDescent="0.3">
      <c r="B547" s="1399"/>
      <c r="C547" s="925" t="s">
        <v>1539</v>
      </c>
      <c r="D547" s="403" t="str">
        <f>D519</f>
        <v>For the year ended March 31, 2023</v>
      </c>
      <c r="E547" s="1400" t="s">
        <v>2371</v>
      </c>
      <c r="F547" s="1715"/>
      <c r="G547" s="1715"/>
    </row>
    <row r="548" spans="2:8" s="337" customFormat="1" ht="15.6" x14ac:dyDescent="0.3">
      <c r="B548" s="1401"/>
      <c r="C548" s="409" t="s">
        <v>1914</v>
      </c>
      <c r="D548" s="409"/>
      <c r="E548" s="1419"/>
      <c r="F548" s="407"/>
      <c r="G548" s="399"/>
    </row>
    <row r="549" spans="2:8" s="337" customFormat="1" ht="15.6" x14ac:dyDescent="0.3">
      <c r="B549" s="1401"/>
      <c r="C549" s="409" t="s">
        <v>1915</v>
      </c>
      <c r="D549" s="411">
        <f>+D520</f>
        <v>100000</v>
      </c>
      <c r="E549" s="1428">
        <v>100000</v>
      </c>
      <c r="F549" s="407"/>
      <c r="G549" s="407"/>
    </row>
    <row r="550" spans="2:8" s="337" customFormat="1" ht="15.6" x14ac:dyDescent="0.3">
      <c r="B550" s="1401"/>
      <c r="C550" s="409" t="s">
        <v>1916</v>
      </c>
      <c r="D550" s="937">
        <v>0</v>
      </c>
      <c r="E550" s="1766">
        <v>0</v>
      </c>
      <c r="F550" s="1732"/>
      <c r="G550" s="1732"/>
    </row>
    <row r="551" spans="2:8" s="337" customFormat="1" ht="15.6" x14ac:dyDescent="0.3">
      <c r="B551" s="1401"/>
      <c r="C551" s="409" t="s">
        <v>1917</v>
      </c>
      <c r="D551" s="937">
        <v>0</v>
      </c>
      <c r="E551" s="1766">
        <v>0</v>
      </c>
      <c r="F551" s="1732"/>
      <c r="G551" s="1732"/>
    </row>
    <row r="552" spans="2:8" s="337" customFormat="1" ht="15.6" x14ac:dyDescent="0.3">
      <c r="B552" s="1401"/>
      <c r="C552" s="409" t="s">
        <v>1918</v>
      </c>
      <c r="D552" s="937"/>
      <c r="E552" s="1766"/>
      <c r="F552" s="1732"/>
      <c r="G552" s="1732"/>
    </row>
    <row r="553" spans="2:8" s="337" customFormat="1" ht="15.6" x14ac:dyDescent="0.3">
      <c r="B553" s="1401"/>
      <c r="C553" s="409" t="s">
        <v>1919</v>
      </c>
      <c r="D553" s="937">
        <v>0</v>
      </c>
      <c r="E553" s="1766">
        <v>0</v>
      </c>
      <c r="F553" s="1732"/>
      <c r="G553" s="1732"/>
    </row>
    <row r="554" spans="2:8" s="337" customFormat="1" ht="15.6" x14ac:dyDescent="0.3">
      <c r="B554" s="1401"/>
      <c r="C554" s="409" t="s">
        <v>1920</v>
      </c>
      <c r="D554" s="937">
        <v>0</v>
      </c>
      <c r="E554" s="1766">
        <v>0</v>
      </c>
      <c r="F554" s="1732"/>
      <c r="G554" s="1732"/>
    </row>
    <row r="555" spans="2:8" s="337" customFormat="1" ht="15.6" x14ac:dyDescent="0.3">
      <c r="B555" s="1401"/>
      <c r="C555" s="409" t="s">
        <v>1921</v>
      </c>
      <c r="D555" s="937">
        <v>0</v>
      </c>
      <c r="E555" s="1766">
        <v>0</v>
      </c>
      <c r="F555" s="1732"/>
      <c r="G555" s="1732"/>
    </row>
    <row r="556" spans="2:8" s="337" customFormat="1" ht="15.6" x14ac:dyDescent="0.3">
      <c r="B556" s="1401"/>
      <c r="C556" s="924" t="s">
        <v>1922</v>
      </c>
      <c r="D556" s="1192">
        <v>0</v>
      </c>
      <c r="E556" s="1769">
        <v>0</v>
      </c>
      <c r="F556" s="1732"/>
      <c r="G556" s="1732"/>
    </row>
    <row r="557" spans="2:8" s="474" customFormat="1" ht="16.2" thickBot="1" x14ac:dyDescent="0.35">
      <c r="B557" s="1415"/>
      <c r="C557" s="931" t="s">
        <v>1923</v>
      </c>
      <c r="D557" s="911">
        <f>SUM(D549:D556)</f>
        <v>100000</v>
      </c>
      <c r="E557" s="1408">
        <v>100000</v>
      </c>
      <c r="F557" s="398"/>
      <c r="G557" s="398"/>
    </row>
    <row r="558" spans="2:8" s="337" customFormat="1" ht="16.2" thickTop="1" x14ac:dyDescent="0.3">
      <c r="B558" s="1398"/>
      <c r="C558" s="399"/>
      <c r="D558" s="399"/>
      <c r="E558" s="1542"/>
    </row>
    <row r="559" spans="2:8" s="337" customFormat="1" ht="15.6" x14ac:dyDescent="0.3">
      <c r="B559" s="1414" t="s">
        <v>2331</v>
      </c>
      <c r="E559" s="1411"/>
    </row>
    <row r="560" spans="2:8" s="474" customFormat="1" ht="46.8" x14ac:dyDescent="0.3">
      <c r="B560" s="1418"/>
      <c r="C560" s="925" t="str">
        <f>C547</f>
        <v>Particualrs</v>
      </c>
      <c r="D560" s="932" t="str">
        <f>D547</f>
        <v>For the year ended March 31, 2023</v>
      </c>
      <c r="E560" s="1764" t="s">
        <v>2371</v>
      </c>
      <c r="F560" s="1728"/>
      <c r="G560" s="1728"/>
    </row>
    <row r="561" spans="1:7" s="337" customFormat="1" ht="31.2" x14ac:dyDescent="0.3">
      <c r="B561" s="1401"/>
      <c r="C561" s="935" t="s">
        <v>1924</v>
      </c>
      <c r="D561" s="411">
        <v>0</v>
      </c>
      <c r="E561" s="1428">
        <v>0</v>
      </c>
      <c r="F561" s="407"/>
      <c r="G561" s="1732"/>
    </row>
    <row r="562" spans="1:7" s="337" customFormat="1" ht="15.6" x14ac:dyDescent="0.3">
      <c r="B562" s="1401"/>
      <c r="C562" s="923" t="s">
        <v>1925</v>
      </c>
      <c r="D562" s="411">
        <v>0</v>
      </c>
      <c r="E562" s="1428">
        <v>0</v>
      </c>
      <c r="F562" s="407"/>
      <c r="G562" s="1732"/>
    </row>
    <row r="563" spans="1:7" s="337" customFormat="1" ht="15.6" x14ac:dyDescent="0.3">
      <c r="B563" s="1401"/>
      <c r="C563" s="923"/>
      <c r="D563" s="411"/>
      <c r="E563" s="1428"/>
      <c r="F563" s="407"/>
      <c r="G563" s="399"/>
    </row>
    <row r="564" spans="1:7" s="337" customFormat="1" ht="15.6" x14ac:dyDescent="0.3">
      <c r="B564" s="1401"/>
      <c r="C564" s="923"/>
      <c r="D564" s="411"/>
      <c r="E564" s="1428"/>
      <c r="F564" s="407"/>
      <c r="G564" s="399"/>
    </row>
    <row r="565" spans="1:7" s="337" customFormat="1" ht="16.2" thickBot="1" x14ac:dyDescent="0.35">
      <c r="B565" s="1430"/>
      <c r="C565" s="1431"/>
      <c r="D565" s="1432"/>
      <c r="E565" s="1433"/>
      <c r="F565" s="407"/>
      <c r="G565" s="407"/>
    </row>
    <row r="566" spans="1:7" s="337" customFormat="1" ht="15.6" x14ac:dyDescent="0.3">
      <c r="A566" s="399"/>
      <c r="B566" s="399"/>
      <c r="C566" s="407"/>
      <c r="D566" s="407"/>
      <c r="E566" s="407"/>
    </row>
    <row r="567" spans="1:7" s="337" customFormat="1" ht="15.6" x14ac:dyDescent="0.3"/>
    <row r="568" spans="1:7" s="337" customFormat="1" ht="15.6" x14ac:dyDescent="0.3"/>
  </sheetData>
  <autoFilter ref="B82:C113"/>
  <mergeCells count="10">
    <mergeCell ref="C404:E404"/>
    <mergeCell ref="C451:E451"/>
    <mergeCell ref="B368:C368"/>
    <mergeCell ref="B408:C408"/>
    <mergeCell ref="B4:E4"/>
    <mergeCell ref="B180:E180"/>
    <mergeCell ref="B181:E181"/>
    <mergeCell ref="B298:E298"/>
    <mergeCell ref="C406:E406"/>
    <mergeCell ref="C405:E405"/>
  </mergeCells>
  <printOptions horizontalCentered="1" verticalCentered="1"/>
  <pageMargins left="0.31" right="0.32" top="0.74803149606299213" bottom="0.74803149606299213" header="0.31496062992125984" footer="0.31496062992125984"/>
  <pageSetup paperSize="9" scale="95" orientation="portrait" r:id="rId1"/>
  <rowBreaks count="6" manualBreakCount="6">
    <brk id="47" max="5" man="1"/>
    <brk id="127" max="5" man="1"/>
    <brk id="173" max="5" man="1"/>
    <brk id="213" max="5" man="1"/>
    <brk id="474" max="16383" man="1"/>
    <brk id="51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4"/>
  <sheetViews>
    <sheetView topLeftCell="G1" zoomScale="70" zoomScaleNormal="70" workbookViewId="0">
      <selection activeCell="O36" sqref="O36"/>
    </sheetView>
  </sheetViews>
  <sheetFormatPr defaultColWidth="9.109375" defaultRowHeight="15.6" x14ac:dyDescent="0.3"/>
  <cols>
    <col min="1" max="1" width="4.6640625" style="604" customWidth="1"/>
    <col min="2" max="2" width="34.109375" style="604" customWidth="1"/>
    <col min="3" max="5" width="19.5546875" style="604" bestFit="1" customWidth="1"/>
    <col min="6" max="7" width="18.109375" style="604" bestFit="1" customWidth="1"/>
    <col min="8" max="8" width="14.5546875" style="604" bestFit="1" customWidth="1"/>
    <col min="9" max="9" width="15.6640625" style="604" bestFit="1" customWidth="1"/>
    <col min="10" max="11" width="15.88671875" style="604" bestFit="1" customWidth="1"/>
    <col min="12" max="12" width="21" style="604" bestFit="1" customWidth="1"/>
    <col min="13" max="13" width="16.44140625" style="604" bestFit="1" customWidth="1"/>
    <col min="14" max="14" width="14.21875" style="604" bestFit="1" customWidth="1"/>
    <col min="15" max="17" width="9.109375" style="604"/>
    <col min="18" max="18" width="16.44140625" style="604" bestFit="1" customWidth="1"/>
    <col min="19" max="19" width="10.21875" style="604" bestFit="1" customWidth="1"/>
    <col min="20" max="20" width="9.109375" style="604"/>
    <col min="21" max="21" width="37.88671875" style="604" bestFit="1" customWidth="1"/>
    <col min="22" max="256" width="9.109375" style="604"/>
    <col min="257" max="257" width="4.44140625" style="604" bestFit="1" customWidth="1"/>
    <col min="258" max="258" width="23.88671875" style="604" bestFit="1" customWidth="1"/>
    <col min="259" max="259" width="14.33203125" style="604" bestFit="1" customWidth="1"/>
    <col min="260" max="260" width="11.44140625" style="604" bestFit="1" customWidth="1"/>
    <col min="261" max="261" width="14.44140625" style="604" bestFit="1" customWidth="1"/>
    <col min="262" max="263" width="14.33203125" style="604" bestFit="1" customWidth="1"/>
    <col min="264" max="264" width="14" style="604" bestFit="1" customWidth="1"/>
    <col min="265" max="265" width="14.44140625" style="604" bestFit="1" customWidth="1"/>
    <col min="266" max="268" width="14.33203125" style="604" bestFit="1" customWidth="1"/>
    <col min="269" max="269" width="9.109375" style="604"/>
    <col min="270" max="270" width="12.6640625" style="604" bestFit="1" customWidth="1"/>
    <col min="271" max="512" width="9.109375" style="604"/>
    <col min="513" max="513" width="4.44140625" style="604" bestFit="1" customWidth="1"/>
    <col min="514" max="514" width="23.88671875" style="604" bestFit="1" customWidth="1"/>
    <col min="515" max="515" width="14.33203125" style="604" bestFit="1" customWidth="1"/>
    <col min="516" max="516" width="11.44140625" style="604" bestFit="1" customWidth="1"/>
    <col min="517" max="517" width="14.44140625" style="604" bestFit="1" customWidth="1"/>
    <col min="518" max="519" width="14.33203125" style="604" bestFit="1" customWidth="1"/>
    <col min="520" max="520" width="14" style="604" bestFit="1" customWidth="1"/>
    <col min="521" max="521" width="14.44140625" style="604" bestFit="1" customWidth="1"/>
    <col min="522" max="524" width="14.33203125" style="604" bestFit="1" customWidth="1"/>
    <col min="525" max="525" width="9.109375" style="604"/>
    <col min="526" max="526" width="12.6640625" style="604" bestFit="1" customWidth="1"/>
    <col min="527" max="768" width="9.109375" style="604"/>
    <col min="769" max="769" width="4.44140625" style="604" bestFit="1" customWidth="1"/>
    <col min="770" max="770" width="23.88671875" style="604" bestFit="1" customWidth="1"/>
    <col min="771" max="771" width="14.33203125" style="604" bestFit="1" customWidth="1"/>
    <col min="772" max="772" width="11.44140625" style="604" bestFit="1" customWidth="1"/>
    <col min="773" max="773" width="14.44140625" style="604" bestFit="1" customWidth="1"/>
    <col min="774" max="775" width="14.33203125" style="604" bestFit="1" customWidth="1"/>
    <col min="776" max="776" width="14" style="604" bestFit="1" customWidth="1"/>
    <col min="777" max="777" width="14.44140625" style="604" bestFit="1" customWidth="1"/>
    <col min="778" max="780" width="14.33203125" style="604" bestFit="1" customWidth="1"/>
    <col min="781" max="781" width="9.109375" style="604"/>
    <col min="782" max="782" width="12.6640625" style="604" bestFit="1" customWidth="1"/>
    <col min="783" max="1024" width="9.109375" style="604"/>
    <col min="1025" max="1025" width="4.44140625" style="604" bestFit="1" customWidth="1"/>
    <col min="1026" max="1026" width="23.88671875" style="604" bestFit="1" customWidth="1"/>
    <col min="1027" max="1027" width="14.33203125" style="604" bestFit="1" customWidth="1"/>
    <col min="1028" max="1028" width="11.44140625" style="604" bestFit="1" customWidth="1"/>
    <col min="1029" max="1029" width="14.44140625" style="604" bestFit="1" customWidth="1"/>
    <col min="1030" max="1031" width="14.33203125" style="604" bestFit="1" customWidth="1"/>
    <col min="1032" max="1032" width="14" style="604" bestFit="1" customWidth="1"/>
    <col min="1033" max="1033" width="14.44140625" style="604" bestFit="1" customWidth="1"/>
    <col min="1034" max="1036" width="14.33203125" style="604" bestFit="1" customWidth="1"/>
    <col min="1037" max="1037" width="9.109375" style="604"/>
    <col min="1038" max="1038" width="12.6640625" style="604" bestFit="1" customWidth="1"/>
    <col min="1039" max="1280" width="9.109375" style="604"/>
    <col min="1281" max="1281" width="4.44140625" style="604" bestFit="1" customWidth="1"/>
    <col min="1282" max="1282" width="23.88671875" style="604" bestFit="1" customWidth="1"/>
    <col min="1283" max="1283" width="14.33203125" style="604" bestFit="1" customWidth="1"/>
    <col min="1284" max="1284" width="11.44140625" style="604" bestFit="1" customWidth="1"/>
    <col min="1285" max="1285" width="14.44140625" style="604" bestFit="1" customWidth="1"/>
    <col min="1286" max="1287" width="14.33203125" style="604" bestFit="1" customWidth="1"/>
    <col min="1288" max="1288" width="14" style="604" bestFit="1" customWidth="1"/>
    <col min="1289" max="1289" width="14.44140625" style="604" bestFit="1" customWidth="1"/>
    <col min="1290" max="1292" width="14.33203125" style="604" bestFit="1" customWidth="1"/>
    <col min="1293" max="1293" width="9.109375" style="604"/>
    <col min="1294" max="1294" width="12.6640625" style="604" bestFit="1" customWidth="1"/>
    <col min="1295" max="1536" width="9.109375" style="604"/>
    <col min="1537" max="1537" width="4.44140625" style="604" bestFit="1" customWidth="1"/>
    <col min="1538" max="1538" width="23.88671875" style="604" bestFit="1" customWidth="1"/>
    <col min="1539" max="1539" width="14.33203125" style="604" bestFit="1" customWidth="1"/>
    <col min="1540" max="1540" width="11.44140625" style="604" bestFit="1" customWidth="1"/>
    <col min="1541" max="1541" width="14.44140625" style="604" bestFit="1" customWidth="1"/>
    <col min="1542" max="1543" width="14.33203125" style="604" bestFit="1" customWidth="1"/>
    <col min="1544" max="1544" width="14" style="604" bestFit="1" customWidth="1"/>
    <col min="1545" max="1545" width="14.44140625" style="604" bestFit="1" customWidth="1"/>
    <col min="1546" max="1548" width="14.33203125" style="604" bestFit="1" customWidth="1"/>
    <col min="1549" max="1549" width="9.109375" style="604"/>
    <col min="1550" max="1550" width="12.6640625" style="604" bestFit="1" customWidth="1"/>
    <col min="1551" max="1792" width="9.109375" style="604"/>
    <col min="1793" max="1793" width="4.44140625" style="604" bestFit="1" customWidth="1"/>
    <col min="1794" max="1794" width="23.88671875" style="604" bestFit="1" customWidth="1"/>
    <col min="1795" max="1795" width="14.33203125" style="604" bestFit="1" customWidth="1"/>
    <col min="1796" max="1796" width="11.44140625" style="604" bestFit="1" customWidth="1"/>
    <col min="1797" max="1797" width="14.44140625" style="604" bestFit="1" customWidth="1"/>
    <col min="1798" max="1799" width="14.33203125" style="604" bestFit="1" customWidth="1"/>
    <col min="1800" max="1800" width="14" style="604" bestFit="1" customWidth="1"/>
    <col min="1801" max="1801" width="14.44140625" style="604" bestFit="1" customWidth="1"/>
    <col min="1802" max="1804" width="14.33203125" style="604" bestFit="1" customWidth="1"/>
    <col min="1805" max="1805" width="9.109375" style="604"/>
    <col min="1806" max="1806" width="12.6640625" style="604" bestFit="1" customWidth="1"/>
    <col min="1807" max="2048" width="9.109375" style="604"/>
    <col min="2049" max="2049" width="4.44140625" style="604" bestFit="1" customWidth="1"/>
    <col min="2050" max="2050" width="23.88671875" style="604" bestFit="1" customWidth="1"/>
    <col min="2051" max="2051" width="14.33203125" style="604" bestFit="1" customWidth="1"/>
    <col min="2052" max="2052" width="11.44140625" style="604" bestFit="1" customWidth="1"/>
    <col min="2053" max="2053" width="14.44140625" style="604" bestFit="1" customWidth="1"/>
    <col min="2054" max="2055" width="14.33203125" style="604" bestFit="1" customWidth="1"/>
    <col min="2056" max="2056" width="14" style="604" bestFit="1" customWidth="1"/>
    <col min="2057" max="2057" width="14.44140625" style="604" bestFit="1" customWidth="1"/>
    <col min="2058" max="2060" width="14.33203125" style="604" bestFit="1" customWidth="1"/>
    <col min="2061" max="2061" width="9.109375" style="604"/>
    <col min="2062" max="2062" width="12.6640625" style="604" bestFit="1" customWidth="1"/>
    <col min="2063" max="2304" width="9.109375" style="604"/>
    <col min="2305" max="2305" width="4.44140625" style="604" bestFit="1" customWidth="1"/>
    <col min="2306" max="2306" width="23.88671875" style="604" bestFit="1" customWidth="1"/>
    <col min="2307" max="2307" width="14.33203125" style="604" bestFit="1" customWidth="1"/>
    <col min="2308" max="2308" width="11.44140625" style="604" bestFit="1" customWidth="1"/>
    <col min="2309" max="2309" width="14.44140625" style="604" bestFit="1" customWidth="1"/>
    <col min="2310" max="2311" width="14.33203125" style="604" bestFit="1" customWidth="1"/>
    <col min="2312" max="2312" width="14" style="604" bestFit="1" customWidth="1"/>
    <col min="2313" max="2313" width="14.44140625" style="604" bestFit="1" customWidth="1"/>
    <col min="2314" max="2316" width="14.33203125" style="604" bestFit="1" customWidth="1"/>
    <col min="2317" max="2317" width="9.109375" style="604"/>
    <col min="2318" max="2318" width="12.6640625" style="604" bestFit="1" customWidth="1"/>
    <col min="2319" max="2560" width="9.109375" style="604"/>
    <col min="2561" max="2561" width="4.44140625" style="604" bestFit="1" customWidth="1"/>
    <col min="2562" max="2562" width="23.88671875" style="604" bestFit="1" customWidth="1"/>
    <col min="2563" max="2563" width="14.33203125" style="604" bestFit="1" customWidth="1"/>
    <col min="2564" max="2564" width="11.44140625" style="604" bestFit="1" customWidth="1"/>
    <col min="2565" max="2565" width="14.44140625" style="604" bestFit="1" customWidth="1"/>
    <col min="2566" max="2567" width="14.33203125" style="604" bestFit="1" customWidth="1"/>
    <col min="2568" max="2568" width="14" style="604" bestFit="1" customWidth="1"/>
    <col min="2569" max="2569" width="14.44140625" style="604" bestFit="1" customWidth="1"/>
    <col min="2570" max="2572" width="14.33203125" style="604" bestFit="1" customWidth="1"/>
    <col min="2573" max="2573" width="9.109375" style="604"/>
    <col min="2574" max="2574" width="12.6640625" style="604" bestFit="1" customWidth="1"/>
    <col min="2575" max="2816" width="9.109375" style="604"/>
    <col min="2817" max="2817" width="4.44140625" style="604" bestFit="1" customWidth="1"/>
    <col min="2818" max="2818" width="23.88671875" style="604" bestFit="1" customWidth="1"/>
    <col min="2819" max="2819" width="14.33203125" style="604" bestFit="1" customWidth="1"/>
    <col min="2820" max="2820" width="11.44140625" style="604" bestFit="1" customWidth="1"/>
    <col min="2821" max="2821" width="14.44140625" style="604" bestFit="1" customWidth="1"/>
    <col min="2822" max="2823" width="14.33203125" style="604" bestFit="1" customWidth="1"/>
    <col min="2824" max="2824" width="14" style="604" bestFit="1" customWidth="1"/>
    <col min="2825" max="2825" width="14.44140625" style="604" bestFit="1" customWidth="1"/>
    <col min="2826" max="2828" width="14.33203125" style="604" bestFit="1" customWidth="1"/>
    <col min="2829" max="2829" width="9.109375" style="604"/>
    <col min="2830" max="2830" width="12.6640625" style="604" bestFit="1" customWidth="1"/>
    <col min="2831" max="3072" width="9.109375" style="604"/>
    <col min="3073" max="3073" width="4.44140625" style="604" bestFit="1" customWidth="1"/>
    <col min="3074" max="3074" width="23.88671875" style="604" bestFit="1" customWidth="1"/>
    <col min="3075" max="3075" width="14.33203125" style="604" bestFit="1" customWidth="1"/>
    <col min="3076" max="3076" width="11.44140625" style="604" bestFit="1" customWidth="1"/>
    <col min="3077" max="3077" width="14.44140625" style="604" bestFit="1" customWidth="1"/>
    <col min="3078" max="3079" width="14.33203125" style="604" bestFit="1" customWidth="1"/>
    <col min="3080" max="3080" width="14" style="604" bestFit="1" customWidth="1"/>
    <col min="3081" max="3081" width="14.44140625" style="604" bestFit="1" customWidth="1"/>
    <col min="3082" max="3084" width="14.33203125" style="604" bestFit="1" customWidth="1"/>
    <col min="3085" max="3085" width="9.109375" style="604"/>
    <col min="3086" max="3086" width="12.6640625" style="604" bestFit="1" customWidth="1"/>
    <col min="3087" max="3328" width="9.109375" style="604"/>
    <col min="3329" max="3329" width="4.44140625" style="604" bestFit="1" customWidth="1"/>
    <col min="3330" max="3330" width="23.88671875" style="604" bestFit="1" customWidth="1"/>
    <col min="3331" max="3331" width="14.33203125" style="604" bestFit="1" customWidth="1"/>
    <col min="3332" max="3332" width="11.44140625" style="604" bestFit="1" customWidth="1"/>
    <col min="3333" max="3333" width="14.44140625" style="604" bestFit="1" customWidth="1"/>
    <col min="3334" max="3335" width="14.33203125" style="604" bestFit="1" customWidth="1"/>
    <col min="3336" max="3336" width="14" style="604" bestFit="1" customWidth="1"/>
    <col min="3337" max="3337" width="14.44140625" style="604" bestFit="1" customWidth="1"/>
    <col min="3338" max="3340" width="14.33203125" style="604" bestFit="1" customWidth="1"/>
    <col min="3341" max="3341" width="9.109375" style="604"/>
    <col min="3342" max="3342" width="12.6640625" style="604" bestFit="1" customWidth="1"/>
    <col min="3343" max="3584" width="9.109375" style="604"/>
    <col min="3585" max="3585" width="4.44140625" style="604" bestFit="1" customWidth="1"/>
    <col min="3586" max="3586" width="23.88671875" style="604" bestFit="1" customWidth="1"/>
    <col min="3587" max="3587" width="14.33203125" style="604" bestFit="1" customWidth="1"/>
    <col min="3588" max="3588" width="11.44140625" style="604" bestFit="1" customWidth="1"/>
    <col min="3589" max="3589" width="14.44140625" style="604" bestFit="1" customWidth="1"/>
    <col min="3590" max="3591" width="14.33203125" style="604" bestFit="1" customWidth="1"/>
    <col min="3592" max="3592" width="14" style="604" bestFit="1" customWidth="1"/>
    <col min="3593" max="3593" width="14.44140625" style="604" bestFit="1" customWidth="1"/>
    <col min="3594" max="3596" width="14.33203125" style="604" bestFit="1" customWidth="1"/>
    <col min="3597" max="3597" width="9.109375" style="604"/>
    <col min="3598" max="3598" width="12.6640625" style="604" bestFit="1" customWidth="1"/>
    <col min="3599" max="3840" width="9.109375" style="604"/>
    <col min="3841" max="3841" width="4.44140625" style="604" bestFit="1" customWidth="1"/>
    <col min="3842" max="3842" width="23.88671875" style="604" bestFit="1" customWidth="1"/>
    <col min="3843" max="3843" width="14.33203125" style="604" bestFit="1" customWidth="1"/>
    <col min="3844" max="3844" width="11.44140625" style="604" bestFit="1" customWidth="1"/>
    <col min="3845" max="3845" width="14.44140625" style="604" bestFit="1" customWidth="1"/>
    <col min="3846" max="3847" width="14.33203125" style="604" bestFit="1" customWidth="1"/>
    <col min="3848" max="3848" width="14" style="604" bestFit="1" customWidth="1"/>
    <col min="3849" max="3849" width="14.44140625" style="604" bestFit="1" customWidth="1"/>
    <col min="3850" max="3852" width="14.33203125" style="604" bestFit="1" customWidth="1"/>
    <col min="3853" max="3853" width="9.109375" style="604"/>
    <col min="3854" max="3854" width="12.6640625" style="604" bestFit="1" customWidth="1"/>
    <col min="3855" max="4096" width="9.109375" style="604"/>
    <col min="4097" max="4097" width="4.44140625" style="604" bestFit="1" customWidth="1"/>
    <col min="4098" max="4098" width="23.88671875" style="604" bestFit="1" customWidth="1"/>
    <col min="4099" max="4099" width="14.33203125" style="604" bestFit="1" customWidth="1"/>
    <col min="4100" max="4100" width="11.44140625" style="604" bestFit="1" customWidth="1"/>
    <col min="4101" max="4101" width="14.44140625" style="604" bestFit="1" customWidth="1"/>
    <col min="4102" max="4103" width="14.33203125" style="604" bestFit="1" customWidth="1"/>
    <col min="4104" max="4104" width="14" style="604" bestFit="1" customWidth="1"/>
    <col min="4105" max="4105" width="14.44140625" style="604" bestFit="1" customWidth="1"/>
    <col min="4106" max="4108" width="14.33203125" style="604" bestFit="1" customWidth="1"/>
    <col min="4109" max="4109" width="9.109375" style="604"/>
    <col min="4110" max="4110" width="12.6640625" style="604" bestFit="1" customWidth="1"/>
    <col min="4111" max="4352" width="9.109375" style="604"/>
    <col min="4353" max="4353" width="4.44140625" style="604" bestFit="1" customWidth="1"/>
    <col min="4354" max="4354" width="23.88671875" style="604" bestFit="1" customWidth="1"/>
    <col min="4355" max="4355" width="14.33203125" style="604" bestFit="1" customWidth="1"/>
    <col min="4356" max="4356" width="11.44140625" style="604" bestFit="1" customWidth="1"/>
    <col min="4357" max="4357" width="14.44140625" style="604" bestFit="1" customWidth="1"/>
    <col min="4358" max="4359" width="14.33203125" style="604" bestFit="1" customWidth="1"/>
    <col min="4360" max="4360" width="14" style="604" bestFit="1" customWidth="1"/>
    <col min="4361" max="4361" width="14.44140625" style="604" bestFit="1" customWidth="1"/>
    <col min="4362" max="4364" width="14.33203125" style="604" bestFit="1" customWidth="1"/>
    <col min="4365" max="4365" width="9.109375" style="604"/>
    <col min="4366" max="4366" width="12.6640625" style="604" bestFit="1" customWidth="1"/>
    <col min="4367" max="4608" width="9.109375" style="604"/>
    <col min="4609" max="4609" width="4.44140625" style="604" bestFit="1" customWidth="1"/>
    <col min="4610" max="4610" width="23.88671875" style="604" bestFit="1" customWidth="1"/>
    <col min="4611" max="4611" width="14.33203125" style="604" bestFit="1" customWidth="1"/>
    <col min="4612" max="4612" width="11.44140625" style="604" bestFit="1" customWidth="1"/>
    <col min="4613" max="4613" width="14.44140625" style="604" bestFit="1" customWidth="1"/>
    <col min="4614" max="4615" width="14.33203125" style="604" bestFit="1" customWidth="1"/>
    <col min="4616" max="4616" width="14" style="604" bestFit="1" customWidth="1"/>
    <col min="4617" max="4617" width="14.44140625" style="604" bestFit="1" customWidth="1"/>
    <col min="4618" max="4620" width="14.33203125" style="604" bestFit="1" customWidth="1"/>
    <col min="4621" max="4621" width="9.109375" style="604"/>
    <col min="4622" max="4622" width="12.6640625" style="604" bestFit="1" customWidth="1"/>
    <col min="4623" max="4864" width="9.109375" style="604"/>
    <col min="4865" max="4865" width="4.44140625" style="604" bestFit="1" customWidth="1"/>
    <col min="4866" max="4866" width="23.88671875" style="604" bestFit="1" customWidth="1"/>
    <col min="4867" max="4867" width="14.33203125" style="604" bestFit="1" customWidth="1"/>
    <col min="4868" max="4868" width="11.44140625" style="604" bestFit="1" customWidth="1"/>
    <col min="4869" max="4869" width="14.44140625" style="604" bestFit="1" customWidth="1"/>
    <col min="4870" max="4871" width="14.33203125" style="604" bestFit="1" customWidth="1"/>
    <col min="4872" max="4872" width="14" style="604" bestFit="1" customWidth="1"/>
    <col min="4873" max="4873" width="14.44140625" style="604" bestFit="1" customWidth="1"/>
    <col min="4874" max="4876" width="14.33203125" style="604" bestFit="1" customWidth="1"/>
    <col min="4877" max="4877" width="9.109375" style="604"/>
    <col min="4878" max="4878" width="12.6640625" style="604" bestFit="1" customWidth="1"/>
    <col min="4879" max="5120" width="9.109375" style="604"/>
    <col min="5121" max="5121" width="4.44140625" style="604" bestFit="1" customWidth="1"/>
    <col min="5122" max="5122" width="23.88671875" style="604" bestFit="1" customWidth="1"/>
    <col min="5123" max="5123" width="14.33203125" style="604" bestFit="1" customWidth="1"/>
    <col min="5124" max="5124" width="11.44140625" style="604" bestFit="1" customWidth="1"/>
    <col min="5125" max="5125" width="14.44140625" style="604" bestFit="1" customWidth="1"/>
    <col min="5126" max="5127" width="14.33203125" style="604" bestFit="1" customWidth="1"/>
    <col min="5128" max="5128" width="14" style="604" bestFit="1" customWidth="1"/>
    <col min="5129" max="5129" width="14.44140625" style="604" bestFit="1" customWidth="1"/>
    <col min="5130" max="5132" width="14.33203125" style="604" bestFit="1" customWidth="1"/>
    <col min="5133" max="5133" width="9.109375" style="604"/>
    <col min="5134" max="5134" width="12.6640625" style="604" bestFit="1" customWidth="1"/>
    <col min="5135" max="5376" width="9.109375" style="604"/>
    <col min="5377" max="5377" width="4.44140625" style="604" bestFit="1" customWidth="1"/>
    <col min="5378" max="5378" width="23.88671875" style="604" bestFit="1" customWidth="1"/>
    <col min="5379" max="5379" width="14.33203125" style="604" bestFit="1" customWidth="1"/>
    <col min="5380" max="5380" width="11.44140625" style="604" bestFit="1" customWidth="1"/>
    <col min="5381" max="5381" width="14.44140625" style="604" bestFit="1" customWidth="1"/>
    <col min="5382" max="5383" width="14.33203125" style="604" bestFit="1" customWidth="1"/>
    <col min="5384" max="5384" width="14" style="604" bestFit="1" customWidth="1"/>
    <col min="5385" max="5385" width="14.44140625" style="604" bestFit="1" customWidth="1"/>
    <col min="5386" max="5388" width="14.33203125" style="604" bestFit="1" customWidth="1"/>
    <col min="5389" max="5389" width="9.109375" style="604"/>
    <col min="5390" max="5390" width="12.6640625" style="604" bestFit="1" customWidth="1"/>
    <col min="5391" max="5632" width="9.109375" style="604"/>
    <col min="5633" max="5633" width="4.44140625" style="604" bestFit="1" customWidth="1"/>
    <col min="5634" max="5634" width="23.88671875" style="604" bestFit="1" customWidth="1"/>
    <col min="5635" max="5635" width="14.33203125" style="604" bestFit="1" customWidth="1"/>
    <col min="5636" max="5636" width="11.44140625" style="604" bestFit="1" customWidth="1"/>
    <col min="5637" max="5637" width="14.44140625" style="604" bestFit="1" customWidth="1"/>
    <col min="5638" max="5639" width="14.33203125" style="604" bestFit="1" customWidth="1"/>
    <col min="5640" max="5640" width="14" style="604" bestFit="1" customWidth="1"/>
    <col min="5641" max="5641" width="14.44140625" style="604" bestFit="1" customWidth="1"/>
    <col min="5642" max="5644" width="14.33203125" style="604" bestFit="1" customWidth="1"/>
    <col min="5645" max="5645" width="9.109375" style="604"/>
    <col min="5646" max="5646" width="12.6640625" style="604" bestFit="1" customWidth="1"/>
    <col min="5647" max="5888" width="9.109375" style="604"/>
    <col min="5889" max="5889" width="4.44140625" style="604" bestFit="1" customWidth="1"/>
    <col min="5890" max="5890" width="23.88671875" style="604" bestFit="1" customWidth="1"/>
    <col min="5891" max="5891" width="14.33203125" style="604" bestFit="1" customWidth="1"/>
    <col min="5892" max="5892" width="11.44140625" style="604" bestFit="1" customWidth="1"/>
    <col min="5893" max="5893" width="14.44140625" style="604" bestFit="1" customWidth="1"/>
    <col min="5894" max="5895" width="14.33203125" style="604" bestFit="1" customWidth="1"/>
    <col min="5896" max="5896" width="14" style="604" bestFit="1" customWidth="1"/>
    <col min="5897" max="5897" width="14.44140625" style="604" bestFit="1" customWidth="1"/>
    <col min="5898" max="5900" width="14.33203125" style="604" bestFit="1" customWidth="1"/>
    <col min="5901" max="5901" width="9.109375" style="604"/>
    <col min="5902" max="5902" width="12.6640625" style="604" bestFit="1" customWidth="1"/>
    <col min="5903" max="6144" width="9.109375" style="604"/>
    <col min="6145" max="6145" width="4.44140625" style="604" bestFit="1" customWidth="1"/>
    <col min="6146" max="6146" width="23.88671875" style="604" bestFit="1" customWidth="1"/>
    <col min="6147" max="6147" width="14.33203125" style="604" bestFit="1" customWidth="1"/>
    <col min="6148" max="6148" width="11.44140625" style="604" bestFit="1" customWidth="1"/>
    <col min="6149" max="6149" width="14.44140625" style="604" bestFit="1" customWidth="1"/>
    <col min="6150" max="6151" width="14.33203125" style="604" bestFit="1" customWidth="1"/>
    <col min="6152" max="6152" width="14" style="604" bestFit="1" customWidth="1"/>
    <col min="6153" max="6153" width="14.44140625" style="604" bestFit="1" customWidth="1"/>
    <col min="6154" max="6156" width="14.33203125" style="604" bestFit="1" customWidth="1"/>
    <col min="6157" max="6157" width="9.109375" style="604"/>
    <col min="6158" max="6158" width="12.6640625" style="604" bestFit="1" customWidth="1"/>
    <col min="6159" max="6400" width="9.109375" style="604"/>
    <col min="6401" max="6401" width="4.44140625" style="604" bestFit="1" customWidth="1"/>
    <col min="6402" max="6402" width="23.88671875" style="604" bestFit="1" customWidth="1"/>
    <col min="6403" max="6403" width="14.33203125" style="604" bestFit="1" customWidth="1"/>
    <col min="6404" max="6404" width="11.44140625" style="604" bestFit="1" customWidth="1"/>
    <col min="6405" max="6405" width="14.44140625" style="604" bestFit="1" customWidth="1"/>
    <col min="6406" max="6407" width="14.33203125" style="604" bestFit="1" customWidth="1"/>
    <col min="6408" max="6408" width="14" style="604" bestFit="1" customWidth="1"/>
    <col min="6409" max="6409" width="14.44140625" style="604" bestFit="1" customWidth="1"/>
    <col min="6410" max="6412" width="14.33203125" style="604" bestFit="1" customWidth="1"/>
    <col min="6413" max="6413" width="9.109375" style="604"/>
    <col min="6414" max="6414" width="12.6640625" style="604" bestFit="1" customWidth="1"/>
    <col min="6415" max="6656" width="9.109375" style="604"/>
    <col min="6657" max="6657" width="4.44140625" style="604" bestFit="1" customWidth="1"/>
    <col min="6658" max="6658" width="23.88671875" style="604" bestFit="1" customWidth="1"/>
    <col min="6659" max="6659" width="14.33203125" style="604" bestFit="1" customWidth="1"/>
    <col min="6660" max="6660" width="11.44140625" style="604" bestFit="1" customWidth="1"/>
    <col min="6661" max="6661" width="14.44140625" style="604" bestFit="1" customWidth="1"/>
    <col min="6662" max="6663" width="14.33203125" style="604" bestFit="1" customWidth="1"/>
    <col min="6664" max="6664" width="14" style="604" bestFit="1" customWidth="1"/>
    <col min="6665" max="6665" width="14.44140625" style="604" bestFit="1" customWidth="1"/>
    <col min="6666" max="6668" width="14.33203125" style="604" bestFit="1" customWidth="1"/>
    <col min="6669" max="6669" width="9.109375" style="604"/>
    <col min="6670" max="6670" width="12.6640625" style="604" bestFit="1" customWidth="1"/>
    <col min="6671" max="6912" width="9.109375" style="604"/>
    <col min="6913" max="6913" width="4.44140625" style="604" bestFit="1" customWidth="1"/>
    <col min="6914" max="6914" width="23.88671875" style="604" bestFit="1" customWidth="1"/>
    <col min="6915" max="6915" width="14.33203125" style="604" bestFit="1" customWidth="1"/>
    <col min="6916" max="6916" width="11.44140625" style="604" bestFit="1" customWidth="1"/>
    <col min="6917" max="6917" width="14.44140625" style="604" bestFit="1" customWidth="1"/>
    <col min="6918" max="6919" width="14.33203125" style="604" bestFit="1" customWidth="1"/>
    <col min="6920" max="6920" width="14" style="604" bestFit="1" customWidth="1"/>
    <col min="6921" max="6921" width="14.44140625" style="604" bestFit="1" customWidth="1"/>
    <col min="6922" max="6924" width="14.33203125" style="604" bestFit="1" customWidth="1"/>
    <col min="6925" max="6925" width="9.109375" style="604"/>
    <col min="6926" max="6926" width="12.6640625" style="604" bestFit="1" customWidth="1"/>
    <col min="6927" max="7168" width="9.109375" style="604"/>
    <col min="7169" max="7169" width="4.44140625" style="604" bestFit="1" customWidth="1"/>
    <col min="7170" max="7170" width="23.88671875" style="604" bestFit="1" customWidth="1"/>
    <col min="7171" max="7171" width="14.33203125" style="604" bestFit="1" customWidth="1"/>
    <col min="7172" max="7172" width="11.44140625" style="604" bestFit="1" customWidth="1"/>
    <col min="7173" max="7173" width="14.44140625" style="604" bestFit="1" customWidth="1"/>
    <col min="7174" max="7175" width="14.33203125" style="604" bestFit="1" customWidth="1"/>
    <col min="7176" max="7176" width="14" style="604" bestFit="1" customWidth="1"/>
    <col min="7177" max="7177" width="14.44140625" style="604" bestFit="1" customWidth="1"/>
    <col min="7178" max="7180" width="14.33203125" style="604" bestFit="1" customWidth="1"/>
    <col min="7181" max="7181" width="9.109375" style="604"/>
    <col min="7182" max="7182" width="12.6640625" style="604" bestFit="1" customWidth="1"/>
    <col min="7183" max="7424" width="9.109375" style="604"/>
    <col min="7425" max="7425" width="4.44140625" style="604" bestFit="1" customWidth="1"/>
    <col min="7426" max="7426" width="23.88671875" style="604" bestFit="1" customWidth="1"/>
    <col min="7427" max="7427" width="14.33203125" style="604" bestFit="1" customWidth="1"/>
    <col min="7428" max="7428" width="11.44140625" style="604" bestFit="1" customWidth="1"/>
    <col min="7429" max="7429" width="14.44140625" style="604" bestFit="1" customWidth="1"/>
    <col min="7430" max="7431" width="14.33203125" style="604" bestFit="1" customWidth="1"/>
    <col min="7432" max="7432" width="14" style="604" bestFit="1" customWidth="1"/>
    <col min="7433" max="7433" width="14.44140625" style="604" bestFit="1" customWidth="1"/>
    <col min="7434" max="7436" width="14.33203125" style="604" bestFit="1" customWidth="1"/>
    <col min="7437" max="7437" width="9.109375" style="604"/>
    <col min="7438" max="7438" width="12.6640625" style="604" bestFit="1" customWidth="1"/>
    <col min="7439" max="7680" width="9.109375" style="604"/>
    <col min="7681" max="7681" width="4.44140625" style="604" bestFit="1" customWidth="1"/>
    <col min="7682" max="7682" width="23.88671875" style="604" bestFit="1" customWidth="1"/>
    <col min="7683" max="7683" width="14.33203125" style="604" bestFit="1" customWidth="1"/>
    <col min="7684" max="7684" width="11.44140625" style="604" bestFit="1" customWidth="1"/>
    <col min="7685" max="7685" width="14.44140625" style="604" bestFit="1" customWidth="1"/>
    <col min="7686" max="7687" width="14.33203125" style="604" bestFit="1" customWidth="1"/>
    <col min="7688" max="7688" width="14" style="604" bestFit="1" customWidth="1"/>
    <col min="7689" max="7689" width="14.44140625" style="604" bestFit="1" customWidth="1"/>
    <col min="7690" max="7692" width="14.33203125" style="604" bestFit="1" customWidth="1"/>
    <col min="7693" max="7693" width="9.109375" style="604"/>
    <col min="7694" max="7694" width="12.6640625" style="604" bestFit="1" customWidth="1"/>
    <col min="7695" max="7936" width="9.109375" style="604"/>
    <col min="7937" max="7937" width="4.44140625" style="604" bestFit="1" customWidth="1"/>
    <col min="7938" max="7938" width="23.88671875" style="604" bestFit="1" customWidth="1"/>
    <col min="7939" max="7939" width="14.33203125" style="604" bestFit="1" customWidth="1"/>
    <col min="7940" max="7940" width="11.44140625" style="604" bestFit="1" customWidth="1"/>
    <col min="7941" max="7941" width="14.44140625" style="604" bestFit="1" customWidth="1"/>
    <col min="7942" max="7943" width="14.33203125" style="604" bestFit="1" customWidth="1"/>
    <col min="7944" max="7944" width="14" style="604" bestFit="1" customWidth="1"/>
    <col min="7945" max="7945" width="14.44140625" style="604" bestFit="1" customWidth="1"/>
    <col min="7946" max="7948" width="14.33203125" style="604" bestFit="1" customWidth="1"/>
    <col min="7949" max="7949" width="9.109375" style="604"/>
    <col min="7950" max="7950" width="12.6640625" style="604" bestFit="1" customWidth="1"/>
    <col min="7951" max="8192" width="9.109375" style="604"/>
    <col min="8193" max="8193" width="4.44140625" style="604" bestFit="1" customWidth="1"/>
    <col min="8194" max="8194" width="23.88671875" style="604" bestFit="1" customWidth="1"/>
    <col min="8195" max="8195" width="14.33203125" style="604" bestFit="1" customWidth="1"/>
    <col min="8196" max="8196" width="11.44140625" style="604" bestFit="1" customWidth="1"/>
    <col min="8197" max="8197" width="14.44140625" style="604" bestFit="1" customWidth="1"/>
    <col min="8198" max="8199" width="14.33203125" style="604" bestFit="1" customWidth="1"/>
    <col min="8200" max="8200" width="14" style="604" bestFit="1" customWidth="1"/>
    <col min="8201" max="8201" width="14.44140625" style="604" bestFit="1" customWidth="1"/>
    <col min="8202" max="8204" width="14.33203125" style="604" bestFit="1" customWidth="1"/>
    <col min="8205" max="8205" width="9.109375" style="604"/>
    <col min="8206" max="8206" width="12.6640625" style="604" bestFit="1" customWidth="1"/>
    <col min="8207" max="8448" width="9.109375" style="604"/>
    <col min="8449" max="8449" width="4.44140625" style="604" bestFit="1" customWidth="1"/>
    <col min="8450" max="8450" width="23.88671875" style="604" bestFit="1" customWidth="1"/>
    <col min="8451" max="8451" width="14.33203125" style="604" bestFit="1" customWidth="1"/>
    <col min="8452" max="8452" width="11.44140625" style="604" bestFit="1" customWidth="1"/>
    <col min="8453" max="8453" width="14.44140625" style="604" bestFit="1" customWidth="1"/>
    <col min="8454" max="8455" width="14.33203125" style="604" bestFit="1" customWidth="1"/>
    <col min="8456" max="8456" width="14" style="604" bestFit="1" customWidth="1"/>
    <col min="8457" max="8457" width="14.44140625" style="604" bestFit="1" customWidth="1"/>
    <col min="8458" max="8460" width="14.33203125" style="604" bestFit="1" customWidth="1"/>
    <col min="8461" max="8461" width="9.109375" style="604"/>
    <col min="8462" max="8462" width="12.6640625" style="604" bestFit="1" customWidth="1"/>
    <col min="8463" max="8704" width="9.109375" style="604"/>
    <col min="8705" max="8705" width="4.44140625" style="604" bestFit="1" customWidth="1"/>
    <col min="8706" max="8706" width="23.88671875" style="604" bestFit="1" customWidth="1"/>
    <col min="8707" max="8707" width="14.33203125" style="604" bestFit="1" customWidth="1"/>
    <col min="8708" max="8708" width="11.44140625" style="604" bestFit="1" customWidth="1"/>
    <col min="8709" max="8709" width="14.44140625" style="604" bestFit="1" customWidth="1"/>
    <col min="8710" max="8711" width="14.33203125" style="604" bestFit="1" customWidth="1"/>
    <col min="8712" max="8712" width="14" style="604" bestFit="1" customWidth="1"/>
    <col min="8713" max="8713" width="14.44140625" style="604" bestFit="1" customWidth="1"/>
    <col min="8714" max="8716" width="14.33203125" style="604" bestFit="1" customWidth="1"/>
    <col min="8717" max="8717" width="9.109375" style="604"/>
    <col min="8718" max="8718" width="12.6640625" style="604" bestFit="1" customWidth="1"/>
    <col min="8719" max="8960" width="9.109375" style="604"/>
    <col min="8961" max="8961" width="4.44140625" style="604" bestFit="1" customWidth="1"/>
    <col min="8962" max="8962" width="23.88671875" style="604" bestFit="1" customWidth="1"/>
    <col min="8963" max="8963" width="14.33203125" style="604" bestFit="1" customWidth="1"/>
    <col min="8964" max="8964" width="11.44140625" style="604" bestFit="1" customWidth="1"/>
    <col min="8965" max="8965" width="14.44140625" style="604" bestFit="1" customWidth="1"/>
    <col min="8966" max="8967" width="14.33203125" style="604" bestFit="1" customWidth="1"/>
    <col min="8968" max="8968" width="14" style="604" bestFit="1" customWidth="1"/>
    <col min="8969" max="8969" width="14.44140625" style="604" bestFit="1" customWidth="1"/>
    <col min="8970" max="8972" width="14.33203125" style="604" bestFit="1" customWidth="1"/>
    <col min="8973" max="8973" width="9.109375" style="604"/>
    <col min="8974" max="8974" width="12.6640625" style="604" bestFit="1" customWidth="1"/>
    <col min="8975" max="9216" width="9.109375" style="604"/>
    <col min="9217" max="9217" width="4.44140625" style="604" bestFit="1" customWidth="1"/>
    <col min="9218" max="9218" width="23.88671875" style="604" bestFit="1" customWidth="1"/>
    <col min="9219" max="9219" width="14.33203125" style="604" bestFit="1" customWidth="1"/>
    <col min="9220" max="9220" width="11.44140625" style="604" bestFit="1" customWidth="1"/>
    <col min="9221" max="9221" width="14.44140625" style="604" bestFit="1" customWidth="1"/>
    <col min="9222" max="9223" width="14.33203125" style="604" bestFit="1" customWidth="1"/>
    <col min="9224" max="9224" width="14" style="604" bestFit="1" customWidth="1"/>
    <col min="9225" max="9225" width="14.44140625" style="604" bestFit="1" customWidth="1"/>
    <col min="9226" max="9228" width="14.33203125" style="604" bestFit="1" customWidth="1"/>
    <col min="9229" max="9229" width="9.109375" style="604"/>
    <col min="9230" max="9230" width="12.6640625" style="604" bestFit="1" customWidth="1"/>
    <col min="9231" max="9472" width="9.109375" style="604"/>
    <col min="9473" max="9473" width="4.44140625" style="604" bestFit="1" customWidth="1"/>
    <col min="9474" max="9474" width="23.88671875" style="604" bestFit="1" customWidth="1"/>
    <col min="9475" max="9475" width="14.33203125" style="604" bestFit="1" customWidth="1"/>
    <col min="9476" max="9476" width="11.44140625" style="604" bestFit="1" customWidth="1"/>
    <col min="9477" max="9477" width="14.44140625" style="604" bestFit="1" customWidth="1"/>
    <col min="9478" max="9479" width="14.33203125" style="604" bestFit="1" customWidth="1"/>
    <col min="9480" max="9480" width="14" style="604" bestFit="1" customWidth="1"/>
    <col min="9481" max="9481" width="14.44140625" style="604" bestFit="1" customWidth="1"/>
    <col min="9482" max="9484" width="14.33203125" style="604" bestFit="1" customWidth="1"/>
    <col min="9485" max="9485" width="9.109375" style="604"/>
    <col min="9486" max="9486" width="12.6640625" style="604" bestFit="1" customWidth="1"/>
    <col min="9487" max="9728" width="9.109375" style="604"/>
    <col min="9729" max="9729" width="4.44140625" style="604" bestFit="1" customWidth="1"/>
    <col min="9730" max="9730" width="23.88671875" style="604" bestFit="1" customWidth="1"/>
    <col min="9731" max="9731" width="14.33203125" style="604" bestFit="1" customWidth="1"/>
    <col min="9732" max="9732" width="11.44140625" style="604" bestFit="1" customWidth="1"/>
    <col min="9733" max="9733" width="14.44140625" style="604" bestFit="1" customWidth="1"/>
    <col min="9734" max="9735" width="14.33203125" style="604" bestFit="1" customWidth="1"/>
    <col min="9736" max="9736" width="14" style="604" bestFit="1" customWidth="1"/>
    <col min="9737" max="9737" width="14.44140625" style="604" bestFit="1" customWidth="1"/>
    <col min="9738" max="9740" width="14.33203125" style="604" bestFit="1" customWidth="1"/>
    <col min="9741" max="9741" width="9.109375" style="604"/>
    <col min="9742" max="9742" width="12.6640625" style="604" bestFit="1" customWidth="1"/>
    <col min="9743" max="9984" width="9.109375" style="604"/>
    <col min="9985" max="9985" width="4.44140625" style="604" bestFit="1" customWidth="1"/>
    <col min="9986" max="9986" width="23.88671875" style="604" bestFit="1" customWidth="1"/>
    <col min="9987" max="9987" width="14.33203125" style="604" bestFit="1" customWidth="1"/>
    <col min="9988" max="9988" width="11.44140625" style="604" bestFit="1" customWidth="1"/>
    <col min="9989" max="9989" width="14.44140625" style="604" bestFit="1" customWidth="1"/>
    <col min="9990" max="9991" width="14.33203125" style="604" bestFit="1" customWidth="1"/>
    <col min="9992" max="9992" width="14" style="604" bestFit="1" customWidth="1"/>
    <col min="9993" max="9993" width="14.44140625" style="604" bestFit="1" customWidth="1"/>
    <col min="9994" max="9996" width="14.33203125" style="604" bestFit="1" customWidth="1"/>
    <col min="9997" max="9997" width="9.109375" style="604"/>
    <col min="9998" max="9998" width="12.6640625" style="604" bestFit="1" customWidth="1"/>
    <col min="9999" max="10240" width="9.109375" style="604"/>
    <col min="10241" max="10241" width="4.44140625" style="604" bestFit="1" customWidth="1"/>
    <col min="10242" max="10242" width="23.88671875" style="604" bestFit="1" customWidth="1"/>
    <col min="10243" max="10243" width="14.33203125" style="604" bestFit="1" customWidth="1"/>
    <col min="10244" max="10244" width="11.44140625" style="604" bestFit="1" customWidth="1"/>
    <col min="10245" max="10245" width="14.44140625" style="604" bestFit="1" customWidth="1"/>
    <col min="10246" max="10247" width="14.33203125" style="604" bestFit="1" customWidth="1"/>
    <col min="10248" max="10248" width="14" style="604" bestFit="1" customWidth="1"/>
    <col min="10249" max="10249" width="14.44140625" style="604" bestFit="1" customWidth="1"/>
    <col min="10250" max="10252" width="14.33203125" style="604" bestFit="1" customWidth="1"/>
    <col min="10253" max="10253" width="9.109375" style="604"/>
    <col min="10254" max="10254" width="12.6640625" style="604" bestFit="1" customWidth="1"/>
    <col min="10255" max="10496" width="9.109375" style="604"/>
    <col min="10497" max="10497" width="4.44140625" style="604" bestFit="1" customWidth="1"/>
    <col min="10498" max="10498" width="23.88671875" style="604" bestFit="1" customWidth="1"/>
    <col min="10499" max="10499" width="14.33203125" style="604" bestFit="1" customWidth="1"/>
    <col min="10500" max="10500" width="11.44140625" style="604" bestFit="1" customWidth="1"/>
    <col min="10501" max="10501" width="14.44140625" style="604" bestFit="1" customWidth="1"/>
    <col min="10502" max="10503" width="14.33203125" style="604" bestFit="1" customWidth="1"/>
    <col min="10504" max="10504" width="14" style="604" bestFit="1" customWidth="1"/>
    <col min="10505" max="10505" width="14.44140625" style="604" bestFit="1" customWidth="1"/>
    <col min="10506" max="10508" width="14.33203125" style="604" bestFit="1" customWidth="1"/>
    <col min="10509" max="10509" width="9.109375" style="604"/>
    <col min="10510" max="10510" width="12.6640625" style="604" bestFit="1" customWidth="1"/>
    <col min="10511" max="10752" width="9.109375" style="604"/>
    <col min="10753" max="10753" width="4.44140625" style="604" bestFit="1" customWidth="1"/>
    <col min="10754" max="10754" width="23.88671875" style="604" bestFit="1" customWidth="1"/>
    <col min="10755" max="10755" width="14.33203125" style="604" bestFit="1" customWidth="1"/>
    <col min="10756" max="10756" width="11.44140625" style="604" bestFit="1" customWidth="1"/>
    <col min="10757" max="10757" width="14.44140625" style="604" bestFit="1" customWidth="1"/>
    <col min="10758" max="10759" width="14.33203125" style="604" bestFit="1" customWidth="1"/>
    <col min="10760" max="10760" width="14" style="604" bestFit="1" customWidth="1"/>
    <col min="10761" max="10761" width="14.44140625" style="604" bestFit="1" customWidth="1"/>
    <col min="10762" max="10764" width="14.33203125" style="604" bestFit="1" customWidth="1"/>
    <col min="10765" max="10765" width="9.109375" style="604"/>
    <col min="10766" max="10766" width="12.6640625" style="604" bestFit="1" customWidth="1"/>
    <col min="10767" max="11008" width="9.109375" style="604"/>
    <col min="11009" max="11009" width="4.44140625" style="604" bestFit="1" customWidth="1"/>
    <col min="11010" max="11010" width="23.88671875" style="604" bestFit="1" customWidth="1"/>
    <col min="11011" max="11011" width="14.33203125" style="604" bestFit="1" customWidth="1"/>
    <col min="11012" max="11012" width="11.44140625" style="604" bestFit="1" customWidth="1"/>
    <col min="11013" max="11013" width="14.44140625" style="604" bestFit="1" customWidth="1"/>
    <col min="11014" max="11015" width="14.33203125" style="604" bestFit="1" customWidth="1"/>
    <col min="11016" max="11016" width="14" style="604" bestFit="1" customWidth="1"/>
    <col min="11017" max="11017" width="14.44140625" style="604" bestFit="1" customWidth="1"/>
    <col min="11018" max="11020" width="14.33203125" style="604" bestFit="1" customWidth="1"/>
    <col min="11021" max="11021" width="9.109375" style="604"/>
    <col min="11022" max="11022" width="12.6640625" style="604" bestFit="1" customWidth="1"/>
    <col min="11023" max="11264" width="9.109375" style="604"/>
    <col min="11265" max="11265" width="4.44140625" style="604" bestFit="1" customWidth="1"/>
    <col min="11266" max="11266" width="23.88671875" style="604" bestFit="1" customWidth="1"/>
    <col min="11267" max="11267" width="14.33203125" style="604" bestFit="1" customWidth="1"/>
    <col min="11268" max="11268" width="11.44140625" style="604" bestFit="1" customWidth="1"/>
    <col min="11269" max="11269" width="14.44140625" style="604" bestFit="1" customWidth="1"/>
    <col min="11270" max="11271" width="14.33203125" style="604" bestFit="1" customWidth="1"/>
    <col min="11272" max="11272" width="14" style="604" bestFit="1" customWidth="1"/>
    <col min="11273" max="11273" width="14.44140625" style="604" bestFit="1" customWidth="1"/>
    <col min="11274" max="11276" width="14.33203125" style="604" bestFit="1" customWidth="1"/>
    <col min="11277" max="11277" width="9.109375" style="604"/>
    <col min="11278" max="11278" width="12.6640625" style="604" bestFit="1" customWidth="1"/>
    <col min="11279" max="11520" width="9.109375" style="604"/>
    <col min="11521" max="11521" width="4.44140625" style="604" bestFit="1" customWidth="1"/>
    <col min="11522" max="11522" width="23.88671875" style="604" bestFit="1" customWidth="1"/>
    <col min="11523" max="11523" width="14.33203125" style="604" bestFit="1" customWidth="1"/>
    <col min="11524" max="11524" width="11.44140625" style="604" bestFit="1" customWidth="1"/>
    <col min="11525" max="11525" width="14.44140625" style="604" bestFit="1" customWidth="1"/>
    <col min="11526" max="11527" width="14.33203125" style="604" bestFit="1" customWidth="1"/>
    <col min="11528" max="11528" width="14" style="604" bestFit="1" customWidth="1"/>
    <col min="11529" max="11529" width="14.44140625" style="604" bestFit="1" customWidth="1"/>
    <col min="11530" max="11532" width="14.33203125" style="604" bestFit="1" customWidth="1"/>
    <col min="11533" max="11533" width="9.109375" style="604"/>
    <col min="11534" max="11534" width="12.6640625" style="604" bestFit="1" customWidth="1"/>
    <col min="11535" max="11776" width="9.109375" style="604"/>
    <col min="11777" max="11777" width="4.44140625" style="604" bestFit="1" customWidth="1"/>
    <col min="11778" max="11778" width="23.88671875" style="604" bestFit="1" customWidth="1"/>
    <col min="11779" max="11779" width="14.33203125" style="604" bestFit="1" customWidth="1"/>
    <col min="11780" max="11780" width="11.44140625" style="604" bestFit="1" customWidth="1"/>
    <col min="11781" max="11781" width="14.44140625" style="604" bestFit="1" customWidth="1"/>
    <col min="11782" max="11783" width="14.33203125" style="604" bestFit="1" customWidth="1"/>
    <col min="11784" max="11784" width="14" style="604" bestFit="1" customWidth="1"/>
    <col min="11785" max="11785" width="14.44140625" style="604" bestFit="1" customWidth="1"/>
    <col min="11786" max="11788" width="14.33203125" style="604" bestFit="1" customWidth="1"/>
    <col min="11789" max="11789" width="9.109375" style="604"/>
    <col min="11790" max="11790" width="12.6640625" style="604" bestFit="1" customWidth="1"/>
    <col min="11791" max="12032" width="9.109375" style="604"/>
    <col min="12033" max="12033" width="4.44140625" style="604" bestFit="1" customWidth="1"/>
    <col min="12034" max="12034" width="23.88671875" style="604" bestFit="1" customWidth="1"/>
    <col min="12035" max="12035" width="14.33203125" style="604" bestFit="1" customWidth="1"/>
    <col min="12036" max="12036" width="11.44140625" style="604" bestFit="1" customWidth="1"/>
    <col min="12037" max="12037" width="14.44140625" style="604" bestFit="1" customWidth="1"/>
    <col min="12038" max="12039" width="14.33203125" style="604" bestFit="1" customWidth="1"/>
    <col min="12040" max="12040" width="14" style="604" bestFit="1" customWidth="1"/>
    <col min="12041" max="12041" width="14.44140625" style="604" bestFit="1" customWidth="1"/>
    <col min="12042" max="12044" width="14.33203125" style="604" bestFit="1" customWidth="1"/>
    <col min="12045" max="12045" width="9.109375" style="604"/>
    <col min="12046" max="12046" width="12.6640625" style="604" bestFit="1" customWidth="1"/>
    <col min="12047" max="12288" width="9.109375" style="604"/>
    <col min="12289" max="12289" width="4.44140625" style="604" bestFit="1" customWidth="1"/>
    <col min="12290" max="12290" width="23.88671875" style="604" bestFit="1" customWidth="1"/>
    <col min="12291" max="12291" width="14.33203125" style="604" bestFit="1" customWidth="1"/>
    <col min="12292" max="12292" width="11.44140625" style="604" bestFit="1" customWidth="1"/>
    <col min="12293" max="12293" width="14.44140625" style="604" bestFit="1" customWidth="1"/>
    <col min="12294" max="12295" width="14.33203125" style="604" bestFit="1" customWidth="1"/>
    <col min="12296" max="12296" width="14" style="604" bestFit="1" customWidth="1"/>
    <col min="12297" max="12297" width="14.44140625" style="604" bestFit="1" customWidth="1"/>
    <col min="12298" max="12300" width="14.33203125" style="604" bestFit="1" customWidth="1"/>
    <col min="12301" max="12301" width="9.109375" style="604"/>
    <col min="12302" max="12302" width="12.6640625" style="604" bestFit="1" customWidth="1"/>
    <col min="12303" max="12544" width="9.109375" style="604"/>
    <col min="12545" max="12545" width="4.44140625" style="604" bestFit="1" customWidth="1"/>
    <col min="12546" max="12546" width="23.88671875" style="604" bestFit="1" customWidth="1"/>
    <col min="12547" max="12547" width="14.33203125" style="604" bestFit="1" customWidth="1"/>
    <col min="12548" max="12548" width="11.44140625" style="604" bestFit="1" customWidth="1"/>
    <col min="12549" max="12549" width="14.44140625" style="604" bestFit="1" customWidth="1"/>
    <col min="12550" max="12551" width="14.33203125" style="604" bestFit="1" customWidth="1"/>
    <col min="12552" max="12552" width="14" style="604" bestFit="1" customWidth="1"/>
    <col min="12553" max="12553" width="14.44140625" style="604" bestFit="1" customWidth="1"/>
    <col min="12554" max="12556" width="14.33203125" style="604" bestFit="1" customWidth="1"/>
    <col min="12557" max="12557" width="9.109375" style="604"/>
    <col min="12558" max="12558" width="12.6640625" style="604" bestFit="1" customWidth="1"/>
    <col min="12559" max="12800" width="9.109375" style="604"/>
    <col min="12801" max="12801" width="4.44140625" style="604" bestFit="1" customWidth="1"/>
    <col min="12802" max="12802" width="23.88671875" style="604" bestFit="1" customWidth="1"/>
    <col min="12803" max="12803" width="14.33203125" style="604" bestFit="1" customWidth="1"/>
    <col min="12804" max="12804" width="11.44140625" style="604" bestFit="1" customWidth="1"/>
    <col min="12805" max="12805" width="14.44140625" style="604" bestFit="1" customWidth="1"/>
    <col min="12806" max="12807" width="14.33203125" style="604" bestFit="1" customWidth="1"/>
    <col min="12808" max="12808" width="14" style="604" bestFit="1" customWidth="1"/>
    <col min="12809" max="12809" width="14.44140625" style="604" bestFit="1" customWidth="1"/>
    <col min="12810" max="12812" width="14.33203125" style="604" bestFit="1" customWidth="1"/>
    <col min="12813" max="12813" width="9.109375" style="604"/>
    <col min="12814" max="12814" width="12.6640625" style="604" bestFit="1" customWidth="1"/>
    <col min="12815" max="13056" width="9.109375" style="604"/>
    <col min="13057" max="13057" width="4.44140625" style="604" bestFit="1" customWidth="1"/>
    <col min="13058" max="13058" width="23.88671875" style="604" bestFit="1" customWidth="1"/>
    <col min="13059" max="13059" width="14.33203125" style="604" bestFit="1" customWidth="1"/>
    <col min="13060" max="13060" width="11.44140625" style="604" bestFit="1" customWidth="1"/>
    <col min="13061" max="13061" width="14.44140625" style="604" bestFit="1" customWidth="1"/>
    <col min="13062" max="13063" width="14.33203125" style="604" bestFit="1" customWidth="1"/>
    <col min="13064" max="13064" width="14" style="604" bestFit="1" customWidth="1"/>
    <col min="13065" max="13065" width="14.44140625" style="604" bestFit="1" customWidth="1"/>
    <col min="13066" max="13068" width="14.33203125" style="604" bestFit="1" customWidth="1"/>
    <col min="13069" max="13069" width="9.109375" style="604"/>
    <col min="13070" max="13070" width="12.6640625" style="604" bestFit="1" customWidth="1"/>
    <col min="13071" max="13312" width="9.109375" style="604"/>
    <col min="13313" max="13313" width="4.44140625" style="604" bestFit="1" customWidth="1"/>
    <col min="13314" max="13314" width="23.88671875" style="604" bestFit="1" customWidth="1"/>
    <col min="13315" max="13315" width="14.33203125" style="604" bestFit="1" customWidth="1"/>
    <col min="13316" max="13316" width="11.44140625" style="604" bestFit="1" customWidth="1"/>
    <col min="13317" max="13317" width="14.44140625" style="604" bestFit="1" customWidth="1"/>
    <col min="13318" max="13319" width="14.33203125" style="604" bestFit="1" customWidth="1"/>
    <col min="13320" max="13320" width="14" style="604" bestFit="1" customWidth="1"/>
    <col min="13321" max="13321" width="14.44140625" style="604" bestFit="1" customWidth="1"/>
    <col min="13322" max="13324" width="14.33203125" style="604" bestFit="1" customWidth="1"/>
    <col min="13325" max="13325" width="9.109375" style="604"/>
    <col min="13326" max="13326" width="12.6640625" style="604" bestFit="1" customWidth="1"/>
    <col min="13327" max="13568" width="9.109375" style="604"/>
    <col min="13569" max="13569" width="4.44140625" style="604" bestFit="1" customWidth="1"/>
    <col min="13570" max="13570" width="23.88671875" style="604" bestFit="1" customWidth="1"/>
    <col min="13571" max="13571" width="14.33203125" style="604" bestFit="1" customWidth="1"/>
    <col min="13572" max="13572" width="11.44140625" style="604" bestFit="1" customWidth="1"/>
    <col min="13573" max="13573" width="14.44140625" style="604" bestFit="1" customWidth="1"/>
    <col min="13574" max="13575" width="14.33203125" style="604" bestFit="1" customWidth="1"/>
    <col min="13576" max="13576" width="14" style="604" bestFit="1" customWidth="1"/>
    <col min="13577" max="13577" width="14.44140625" style="604" bestFit="1" customWidth="1"/>
    <col min="13578" max="13580" width="14.33203125" style="604" bestFit="1" customWidth="1"/>
    <col min="13581" max="13581" width="9.109375" style="604"/>
    <col min="13582" max="13582" width="12.6640625" style="604" bestFit="1" customWidth="1"/>
    <col min="13583" max="13824" width="9.109375" style="604"/>
    <col min="13825" max="13825" width="4.44140625" style="604" bestFit="1" customWidth="1"/>
    <col min="13826" max="13826" width="23.88671875" style="604" bestFit="1" customWidth="1"/>
    <col min="13827" max="13827" width="14.33203125" style="604" bestFit="1" customWidth="1"/>
    <col min="13828" max="13828" width="11.44140625" style="604" bestFit="1" customWidth="1"/>
    <col min="13829" max="13829" width="14.44140625" style="604" bestFit="1" customWidth="1"/>
    <col min="13830" max="13831" width="14.33203125" style="604" bestFit="1" customWidth="1"/>
    <col min="13832" max="13832" width="14" style="604" bestFit="1" customWidth="1"/>
    <col min="13833" max="13833" width="14.44140625" style="604" bestFit="1" customWidth="1"/>
    <col min="13834" max="13836" width="14.33203125" style="604" bestFit="1" customWidth="1"/>
    <col min="13837" max="13837" width="9.109375" style="604"/>
    <col min="13838" max="13838" width="12.6640625" style="604" bestFit="1" customWidth="1"/>
    <col min="13839" max="14080" width="9.109375" style="604"/>
    <col min="14081" max="14081" width="4.44140625" style="604" bestFit="1" customWidth="1"/>
    <col min="14082" max="14082" width="23.88671875" style="604" bestFit="1" customWidth="1"/>
    <col min="14083" max="14083" width="14.33203125" style="604" bestFit="1" customWidth="1"/>
    <col min="14084" max="14084" width="11.44140625" style="604" bestFit="1" customWidth="1"/>
    <col min="14085" max="14085" width="14.44140625" style="604" bestFit="1" customWidth="1"/>
    <col min="14086" max="14087" width="14.33203125" style="604" bestFit="1" customWidth="1"/>
    <col min="14088" max="14088" width="14" style="604" bestFit="1" customWidth="1"/>
    <col min="14089" max="14089" width="14.44140625" style="604" bestFit="1" customWidth="1"/>
    <col min="14090" max="14092" width="14.33203125" style="604" bestFit="1" customWidth="1"/>
    <col min="14093" max="14093" width="9.109375" style="604"/>
    <col min="14094" max="14094" width="12.6640625" style="604" bestFit="1" customWidth="1"/>
    <col min="14095" max="14336" width="9.109375" style="604"/>
    <col min="14337" max="14337" width="4.44140625" style="604" bestFit="1" customWidth="1"/>
    <col min="14338" max="14338" width="23.88671875" style="604" bestFit="1" customWidth="1"/>
    <col min="14339" max="14339" width="14.33203125" style="604" bestFit="1" customWidth="1"/>
    <col min="14340" max="14340" width="11.44140625" style="604" bestFit="1" customWidth="1"/>
    <col min="14341" max="14341" width="14.44140625" style="604" bestFit="1" customWidth="1"/>
    <col min="14342" max="14343" width="14.33203125" style="604" bestFit="1" customWidth="1"/>
    <col min="14344" max="14344" width="14" style="604" bestFit="1" customWidth="1"/>
    <col min="14345" max="14345" width="14.44140625" style="604" bestFit="1" customWidth="1"/>
    <col min="14346" max="14348" width="14.33203125" style="604" bestFit="1" customWidth="1"/>
    <col min="14349" max="14349" width="9.109375" style="604"/>
    <col min="14350" max="14350" width="12.6640625" style="604" bestFit="1" customWidth="1"/>
    <col min="14351" max="14592" width="9.109375" style="604"/>
    <col min="14593" max="14593" width="4.44140625" style="604" bestFit="1" customWidth="1"/>
    <col min="14594" max="14594" width="23.88671875" style="604" bestFit="1" customWidth="1"/>
    <col min="14595" max="14595" width="14.33203125" style="604" bestFit="1" customWidth="1"/>
    <col min="14596" max="14596" width="11.44140625" style="604" bestFit="1" customWidth="1"/>
    <col min="14597" max="14597" width="14.44140625" style="604" bestFit="1" customWidth="1"/>
    <col min="14598" max="14599" width="14.33203125" style="604" bestFit="1" customWidth="1"/>
    <col min="14600" max="14600" width="14" style="604" bestFit="1" customWidth="1"/>
    <col min="14601" max="14601" width="14.44140625" style="604" bestFit="1" customWidth="1"/>
    <col min="14602" max="14604" width="14.33203125" style="604" bestFit="1" customWidth="1"/>
    <col min="14605" max="14605" width="9.109375" style="604"/>
    <col min="14606" max="14606" width="12.6640625" style="604" bestFit="1" customWidth="1"/>
    <col min="14607" max="14848" width="9.109375" style="604"/>
    <col min="14849" max="14849" width="4.44140625" style="604" bestFit="1" customWidth="1"/>
    <col min="14850" max="14850" width="23.88671875" style="604" bestFit="1" customWidth="1"/>
    <col min="14851" max="14851" width="14.33203125" style="604" bestFit="1" customWidth="1"/>
    <col min="14852" max="14852" width="11.44140625" style="604" bestFit="1" customWidth="1"/>
    <col min="14853" max="14853" width="14.44140625" style="604" bestFit="1" customWidth="1"/>
    <col min="14854" max="14855" width="14.33203125" style="604" bestFit="1" customWidth="1"/>
    <col min="14856" max="14856" width="14" style="604" bestFit="1" customWidth="1"/>
    <col min="14857" max="14857" width="14.44140625" style="604" bestFit="1" customWidth="1"/>
    <col min="14858" max="14860" width="14.33203125" style="604" bestFit="1" customWidth="1"/>
    <col min="14861" max="14861" width="9.109375" style="604"/>
    <col min="14862" max="14862" width="12.6640625" style="604" bestFit="1" customWidth="1"/>
    <col min="14863" max="15104" width="9.109375" style="604"/>
    <col min="15105" max="15105" width="4.44140625" style="604" bestFit="1" customWidth="1"/>
    <col min="15106" max="15106" width="23.88671875" style="604" bestFit="1" customWidth="1"/>
    <col min="15107" max="15107" width="14.33203125" style="604" bestFit="1" customWidth="1"/>
    <col min="15108" max="15108" width="11.44140625" style="604" bestFit="1" customWidth="1"/>
    <col min="15109" max="15109" width="14.44140625" style="604" bestFit="1" customWidth="1"/>
    <col min="15110" max="15111" width="14.33203125" style="604" bestFit="1" customWidth="1"/>
    <col min="15112" max="15112" width="14" style="604" bestFit="1" customWidth="1"/>
    <col min="15113" max="15113" width="14.44140625" style="604" bestFit="1" customWidth="1"/>
    <col min="15114" max="15116" width="14.33203125" style="604" bestFit="1" customWidth="1"/>
    <col min="15117" max="15117" width="9.109375" style="604"/>
    <col min="15118" max="15118" width="12.6640625" style="604" bestFit="1" customWidth="1"/>
    <col min="15119" max="15360" width="9.109375" style="604"/>
    <col min="15361" max="15361" width="4.44140625" style="604" bestFit="1" customWidth="1"/>
    <col min="15362" max="15362" width="23.88671875" style="604" bestFit="1" customWidth="1"/>
    <col min="15363" max="15363" width="14.33203125" style="604" bestFit="1" customWidth="1"/>
    <col min="15364" max="15364" width="11.44140625" style="604" bestFit="1" customWidth="1"/>
    <col min="15365" max="15365" width="14.44140625" style="604" bestFit="1" customWidth="1"/>
    <col min="15366" max="15367" width="14.33203125" style="604" bestFit="1" customWidth="1"/>
    <col min="15368" max="15368" width="14" style="604" bestFit="1" customWidth="1"/>
    <col min="15369" max="15369" width="14.44140625" style="604" bestFit="1" customWidth="1"/>
    <col min="15370" max="15372" width="14.33203125" style="604" bestFit="1" customWidth="1"/>
    <col min="15373" max="15373" width="9.109375" style="604"/>
    <col min="15374" max="15374" width="12.6640625" style="604" bestFit="1" customWidth="1"/>
    <col min="15375" max="15616" width="9.109375" style="604"/>
    <col min="15617" max="15617" width="4.44140625" style="604" bestFit="1" customWidth="1"/>
    <col min="15618" max="15618" width="23.88671875" style="604" bestFit="1" customWidth="1"/>
    <col min="15619" max="15619" width="14.33203125" style="604" bestFit="1" customWidth="1"/>
    <col min="15620" max="15620" width="11.44140625" style="604" bestFit="1" customWidth="1"/>
    <col min="15621" max="15621" width="14.44140625" style="604" bestFit="1" customWidth="1"/>
    <col min="15622" max="15623" width="14.33203125" style="604" bestFit="1" customWidth="1"/>
    <col min="15624" max="15624" width="14" style="604" bestFit="1" customWidth="1"/>
    <col min="15625" max="15625" width="14.44140625" style="604" bestFit="1" customWidth="1"/>
    <col min="15626" max="15628" width="14.33203125" style="604" bestFit="1" customWidth="1"/>
    <col min="15629" max="15629" width="9.109375" style="604"/>
    <col min="15630" max="15630" width="12.6640625" style="604" bestFit="1" customWidth="1"/>
    <col min="15631" max="15872" width="9.109375" style="604"/>
    <col min="15873" max="15873" width="4.44140625" style="604" bestFit="1" customWidth="1"/>
    <col min="15874" max="15874" width="23.88671875" style="604" bestFit="1" customWidth="1"/>
    <col min="15875" max="15875" width="14.33203125" style="604" bestFit="1" customWidth="1"/>
    <col min="15876" max="15876" width="11.44140625" style="604" bestFit="1" customWidth="1"/>
    <col min="15877" max="15877" width="14.44140625" style="604" bestFit="1" customWidth="1"/>
    <col min="15878" max="15879" width="14.33203125" style="604" bestFit="1" customWidth="1"/>
    <col min="15880" max="15880" width="14" style="604" bestFit="1" customWidth="1"/>
    <col min="15881" max="15881" width="14.44140625" style="604" bestFit="1" customWidth="1"/>
    <col min="15882" max="15884" width="14.33203125" style="604" bestFit="1" customWidth="1"/>
    <col min="15885" max="15885" width="9.109375" style="604"/>
    <col min="15886" max="15886" width="12.6640625" style="604" bestFit="1" customWidth="1"/>
    <col min="15887" max="16128" width="9.109375" style="604"/>
    <col min="16129" max="16129" width="4.44140625" style="604" bestFit="1" customWidth="1"/>
    <col min="16130" max="16130" width="23.88671875" style="604" bestFit="1" customWidth="1"/>
    <col min="16131" max="16131" width="14.33203125" style="604" bestFit="1" customWidth="1"/>
    <col min="16132" max="16132" width="11.44140625" style="604" bestFit="1" customWidth="1"/>
    <col min="16133" max="16133" width="14.44140625" style="604" bestFit="1" customWidth="1"/>
    <col min="16134" max="16135" width="14.33203125" style="604" bestFit="1" customWidth="1"/>
    <col min="16136" max="16136" width="14" style="604" bestFit="1" customWidth="1"/>
    <col min="16137" max="16137" width="14.44140625" style="604" bestFit="1" customWidth="1"/>
    <col min="16138" max="16140" width="14.33203125" style="604" bestFit="1" customWidth="1"/>
    <col min="16141" max="16141" width="9.109375" style="604"/>
    <col min="16142" max="16142" width="12.6640625" style="604" bestFit="1" customWidth="1"/>
    <col min="16143" max="16384" width="9.109375" style="604"/>
  </cols>
  <sheetData>
    <row r="1" spans="1:14" ht="16.2" thickBot="1" x14ac:dyDescent="0.35">
      <c r="A1" s="1804"/>
      <c r="B1" s="1803"/>
    </row>
    <row r="2" spans="1:14" x14ac:dyDescent="0.3">
      <c r="B2" s="2002" t="str">
        <f>'BS PL CFL'!B2:H2</f>
        <v>Arunjyoti Bio Ventures Limited</v>
      </c>
      <c r="C2" s="2003"/>
      <c r="D2" s="2003"/>
      <c r="E2" s="2003"/>
      <c r="F2" s="2003"/>
      <c r="G2" s="2003"/>
      <c r="H2" s="1637"/>
      <c r="I2" s="1637"/>
      <c r="J2" s="1637"/>
      <c r="K2" s="1637"/>
      <c r="L2" s="1638"/>
    </row>
    <row r="3" spans="1:14" s="614" customFormat="1" ht="16.2" thickBot="1" x14ac:dyDescent="0.35">
      <c r="B3" s="1639" t="s">
        <v>2019</v>
      </c>
      <c r="L3" s="1640" t="s">
        <v>2074</v>
      </c>
    </row>
    <row r="4" spans="1:14" s="614" customFormat="1" ht="16.2" hidden="1" thickBot="1" x14ac:dyDescent="0.35">
      <c r="B4" s="1641" t="s">
        <v>311</v>
      </c>
      <c r="C4" s="1998" t="s">
        <v>218</v>
      </c>
      <c r="D4" s="1999"/>
      <c r="E4" s="1999"/>
      <c r="F4" s="2000"/>
      <c r="G4" s="1998" t="s">
        <v>214</v>
      </c>
      <c r="H4" s="1998"/>
      <c r="I4" s="1999"/>
      <c r="J4" s="2000"/>
      <c r="K4" s="1998" t="s">
        <v>219</v>
      </c>
      <c r="L4" s="2001"/>
    </row>
    <row r="5" spans="1:14" s="614" customFormat="1" ht="16.2" hidden="1" thickBot="1" x14ac:dyDescent="0.35">
      <c r="B5" s="1639"/>
      <c r="C5" s="627" t="s">
        <v>216</v>
      </c>
      <c r="D5" s="614" t="s">
        <v>312</v>
      </c>
      <c r="E5" s="627" t="s">
        <v>313</v>
      </c>
      <c r="F5" s="628" t="s">
        <v>213</v>
      </c>
      <c r="G5" s="627" t="s">
        <v>216</v>
      </c>
      <c r="H5" s="628" t="s">
        <v>314</v>
      </c>
      <c r="I5" s="628" t="s">
        <v>313</v>
      </c>
      <c r="J5" s="627" t="s">
        <v>213</v>
      </c>
      <c r="K5" s="628" t="s">
        <v>315</v>
      </c>
      <c r="L5" s="1642" t="s">
        <v>315</v>
      </c>
    </row>
    <row r="6" spans="1:14" s="614" customFormat="1" ht="16.2" hidden="1" thickBot="1" x14ac:dyDescent="0.35">
      <c r="B6" s="1643"/>
      <c r="C6" s="629">
        <v>43556</v>
      </c>
      <c r="D6" s="630"/>
      <c r="E6" s="631" t="s">
        <v>316</v>
      </c>
      <c r="F6" s="632"/>
      <c r="G6" s="629">
        <v>43556</v>
      </c>
      <c r="H6" s="633" t="s">
        <v>317</v>
      </c>
      <c r="I6" s="632" t="s">
        <v>316</v>
      </c>
      <c r="J6" s="633"/>
      <c r="K6" s="634">
        <v>43921</v>
      </c>
      <c r="L6" s="1644">
        <v>43555</v>
      </c>
    </row>
    <row r="7" spans="1:14" ht="16.2" hidden="1" thickBot="1" x14ac:dyDescent="0.35">
      <c r="B7" s="1645"/>
      <c r="C7" s="606"/>
      <c r="E7" s="607"/>
      <c r="G7" s="607"/>
      <c r="I7" s="607"/>
      <c r="J7" s="607"/>
      <c r="L7" s="1646"/>
    </row>
    <row r="8" spans="1:14" ht="16.2" hidden="1" thickBot="1" x14ac:dyDescent="0.35">
      <c r="B8" s="1645" t="s">
        <v>318</v>
      </c>
      <c r="C8" s="346">
        <v>79050000</v>
      </c>
      <c r="D8" s="608">
        <v>3000000</v>
      </c>
      <c r="E8" s="609">
        <v>82050000</v>
      </c>
      <c r="F8" s="306">
        <f>C8+D8-E8</f>
        <v>0</v>
      </c>
      <c r="G8" s="609">
        <v>0</v>
      </c>
      <c r="H8" s="608">
        <v>0</v>
      </c>
      <c r="I8" s="609">
        <v>0</v>
      </c>
      <c r="J8" s="609">
        <f t="shared" ref="J8:J16" si="0">G8+H8-I8</f>
        <v>0</v>
      </c>
      <c r="K8" s="306">
        <f t="shared" ref="K8:K16" si="1">F8-J8</f>
        <v>0</v>
      </c>
      <c r="L8" s="1647">
        <v>79050000</v>
      </c>
      <c r="M8" s="613"/>
      <c r="N8" s="636"/>
    </row>
    <row r="9" spans="1:14" ht="16.2" hidden="1" thickBot="1" x14ac:dyDescent="0.35">
      <c r="B9" s="1645" t="s">
        <v>319</v>
      </c>
      <c r="C9" s="346">
        <v>65130130</v>
      </c>
      <c r="D9" s="608">
        <v>0</v>
      </c>
      <c r="E9" s="609">
        <f>C9</f>
        <v>65130130</v>
      </c>
      <c r="F9" s="306">
        <f t="shared" ref="F9:F16" si="2">C9+D9-E9</f>
        <v>0</v>
      </c>
      <c r="G9" s="609">
        <v>26350077</v>
      </c>
      <c r="H9" s="608">
        <v>0</v>
      </c>
      <c r="I9" s="609">
        <f>G9</f>
        <v>26350077</v>
      </c>
      <c r="J9" s="609">
        <f t="shared" si="0"/>
        <v>0</v>
      </c>
      <c r="K9" s="306">
        <f t="shared" si="1"/>
        <v>0</v>
      </c>
      <c r="L9" s="1647">
        <v>38780053</v>
      </c>
      <c r="M9" s="613"/>
      <c r="N9" s="636"/>
    </row>
    <row r="10" spans="1:14" ht="16.2" hidden="1" thickBot="1" x14ac:dyDescent="0.35">
      <c r="B10" s="1645" t="s">
        <v>320</v>
      </c>
      <c r="C10" s="346">
        <v>270762574</v>
      </c>
      <c r="D10" s="608">
        <v>1600000</v>
      </c>
      <c r="E10" s="609">
        <v>0</v>
      </c>
      <c r="F10" s="306">
        <f t="shared" si="2"/>
        <v>272362574</v>
      </c>
      <c r="G10" s="609">
        <v>203221454</v>
      </c>
      <c r="H10" s="608">
        <f>+'[2]Dep 19-20 Final'!Q542</f>
        <v>12307818.197704948</v>
      </c>
      <c r="I10" s="609">
        <v>0</v>
      </c>
      <c r="J10" s="609">
        <f t="shared" si="0"/>
        <v>215529272.19770494</v>
      </c>
      <c r="K10" s="306">
        <f t="shared" si="1"/>
        <v>56833301.802295059</v>
      </c>
      <c r="L10" s="1647">
        <f>67541121+7</f>
        <v>67541128</v>
      </c>
      <c r="M10" s="613"/>
      <c r="N10" s="636"/>
    </row>
    <row r="11" spans="1:14" ht="16.2" hidden="1" thickBot="1" x14ac:dyDescent="0.35">
      <c r="B11" s="1645" t="s">
        <v>321</v>
      </c>
      <c r="C11" s="346">
        <v>19425551</v>
      </c>
      <c r="D11" s="608">
        <v>0</v>
      </c>
      <c r="E11" s="610">
        <f>C11</f>
        <v>19425551</v>
      </c>
      <c r="F11" s="306">
        <f t="shared" si="2"/>
        <v>0</v>
      </c>
      <c r="G11" s="609">
        <v>18786614</v>
      </c>
      <c r="H11" s="608">
        <v>0</v>
      </c>
      <c r="I11" s="609">
        <f>G11</f>
        <v>18786614</v>
      </c>
      <c r="J11" s="609">
        <f t="shared" si="0"/>
        <v>0</v>
      </c>
      <c r="K11" s="306">
        <f t="shared" si="1"/>
        <v>0</v>
      </c>
      <c r="L11" s="1647">
        <v>638937</v>
      </c>
      <c r="M11" s="613"/>
      <c r="N11" s="636"/>
    </row>
    <row r="12" spans="1:14" ht="16.2" hidden="1" thickBot="1" x14ac:dyDescent="0.35">
      <c r="B12" s="1645" t="s">
        <v>322</v>
      </c>
      <c r="C12" s="346">
        <v>8086382</v>
      </c>
      <c r="D12" s="608"/>
      <c r="E12" s="609">
        <v>0</v>
      </c>
      <c r="F12" s="306">
        <f t="shared" si="2"/>
        <v>8086382</v>
      </c>
      <c r="G12" s="609">
        <v>7687462</v>
      </c>
      <c r="H12" s="608">
        <f>+'[2]Dep 19-20 Final'!Q589</f>
        <v>35857.009874706338</v>
      </c>
      <c r="I12" s="609">
        <v>0</v>
      </c>
      <c r="J12" s="609">
        <f t="shared" si="0"/>
        <v>7723319.0098747062</v>
      </c>
      <c r="K12" s="306">
        <f t="shared" si="1"/>
        <v>363062.99012529384</v>
      </c>
      <c r="L12" s="1647">
        <v>398921</v>
      </c>
      <c r="M12" s="613"/>
      <c r="N12" s="636"/>
    </row>
    <row r="13" spans="1:14" ht="16.2" hidden="1" thickBot="1" x14ac:dyDescent="0.35">
      <c r="B13" s="1645" t="s">
        <v>323</v>
      </c>
      <c r="C13" s="346">
        <v>1895096</v>
      </c>
      <c r="D13" s="608">
        <v>0</v>
      </c>
      <c r="E13" s="609">
        <v>0</v>
      </c>
      <c r="F13" s="306">
        <f t="shared" si="2"/>
        <v>1895096</v>
      </c>
      <c r="G13" s="609">
        <v>1865214</v>
      </c>
      <c r="H13" s="608">
        <f>+'[2]Dep 19-20 Final'!Q21</f>
        <v>3840</v>
      </c>
      <c r="I13" s="609">
        <v>0</v>
      </c>
      <c r="J13" s="609">
        <f t="shared" si="0"/>
        <v>1869054</v>
      </c>
      <c r="K13" s="306">
        <f t="shared" si="1"/>
        <v>26042</v>
      </c>
      <c r="L13" s="1647">
        <v>29882</v>
      </c>
      <c r="M13" s="635"/>
      <c r="N13" s="636"/>
    </row>
    <row r="14" spans="1:14" ht="16.2" hidden="1" thickBot="1" x14ac:dyDescent="0.35">
      <c r="B14" s="1645" t="s">
        <v>324</v>
      </c>
      <c r="C14" s="346">
        <v>1441408</v>
      </c>
      <c r="D14" s="608">
        <v>0</v>
      </c>
      <c r="E14" s="609">
        <v>0</v>
      </c>
      <c r="F14" s="306">
        <f t="shared" si="2"/>
        <v>1441408</v>
      </c>
      <c r="G14" s="609">
        <v>1434492</v>
      </c>
      <c r="H14" s="608">
        <f>+'[2]Dep 19-20 Final'!O623</f>
        <v>0</v>
      </c>
      <c r="I14" s="609">
        <v>0</v>
      </c>
      <c r="J14" s="609">
        <f t="shared" si="0"/>
        <v>1434492</v>
      </c>
      <c r="K14" s="306">
        <f t="shared" si="1"/>
        <v>6916</v>
      </c>
      <c r="L14" s="1647">
        <v>6916</v>
      </c>
      <c r="M14" s="613"/>
      <c r="N14" s="636"/>
    </row>
    <row r="15" spans="1:14" ht="16.2" hidden="1" thickBot="1" x14ac:dyDescent="0.35">
      <c r="B15" s="1645" t="s">
        <v>325</v>
      </c>
      <c r="C15" s="346">
        <v>2586171</v>
      </c>
      <c r="D15" s="608">
        <v>0</v>
      </c>
      <c r="E15" s="609">
        <v>0</v>
      </c>
      <c r="F15" s="306">
        <f t="shared" si="2"/>
        <v>2586171</v>
      </c>
      <c r="G15" s="609">
        <v>2567744</v>
      </c>
      <c r="H15" s="608">
        <f>+'[2]Dep 19-20 Final'!Q648</f>
        <v>0</v>
      </c>
      <c r="I15" s="609">
        <v>0</v>
      </c>
      <c r="J15" s="609">
        <f t="shared" si="0"/>
        <v>2567744</v>
      </c>
      <c r="K15" s="306">
        <f t="shared" si="1"/>
        <v>18427</v>
      </c>
      <c r="L15" s="1647">
        <v>18427</v>
      </c>
      <c r="M15" s="613"/>
      <c r="N15" s="636"/>
    </row>
    <row r="16" spans="1:14" ht="16.2" hidden="1" thickBot="1" x14ac:dyDescent="0.35">
      <c r="B16" s="1645" t="s">
        <v>326</v>
      </c>
      <c r="C16" s="346">
        <v>3447411</v>
      </c>
      <c r="D16" s="608">
        <f>+'[2]Dep 19-20 Final'!C658+'[2]Dep 19-20 Final'!C659</f>
        <v>5292006</v>
      </c>
      <c r="E16" s="609">
        <v>0</v>
      </c>
      <c r="F16" s="306">
        <f t="shared" si="2"/>
        <v>8739417</v>
      </c>
      <c r="G16" s="609">
        <v>3385792</v>
      </c>
      <c r="H16" s="608">
        <f>+'[2]Dep 19-20 Final'!Q661</f>
        <v>207107.16657534247</v>
      </c>
      <c r="I16" s="609">
        <v>0</v>
      </c>
      <c r="J16" s="609">
        <f t="shared" si="0"/>
        <v>3592899.1665753424</v>
      </c>
      <c r="K16" s="306">
        <f t="shared" si="1"/>
        <v>5146517.8334246576</v>
      </c>
      <c r="L16" s="1647">
        <v>61619</v>
      </c>
      <c r="M16" s="613"/>
      <c r="N16" s="636"/>
    </row>
    <row r="17" spans="2:21" ht="16.2" hidden="1" thickBot="1" x14ac:dyDescent="0.35">
      <c r="B17" s="1645"/>
      <c r="C17" s="611"/>
      <c r="D17" s="608"/>
      <c r="E17" s="611"/>
      <c r="F17" s="608"/>
      <c r="G17" s="609"/>
      <c r="H17" s="608"/>
      <c r="I17" s="609"/>
      <c r="J17" s="609"/>
      <c r="K17" s="608"/>
      <c r="L17" s="1647"/>
    </row>
    <row r="18" spans="2:21" ht="16.2" hidden="1" thickBot="1" x14ac:dyDescent="0.35">
      <c r="B18" s="1648" t="s">
        <v>213</v>
      </c>
      <c r="C18" s="506">
        <f>SUM(C8:C17)</f>
        <v>451824723</v>
      </c>
      <c r="D18" s="612">
        <f t="shared" ref="D18:L18" si="3">SUM(D8:D16)</f>
        <v>9892006</v>
      </c>
      <c r="E18" s="506">
        <f>SUM(E8:E16)</f>
        <v>166605681</v>
      </c>
      <c r="F18" s="612">
        <f t="shared" si="3"/>
        <v>295111048</v>
      </c>
      <c r="G18" s="506">
        <f t="shared" si="3"/>
        <v>265298849</v>
      </c>
      <c r="H18" s="612">
        <f t="shared" si="3"/>
        <v>12554622.374154998</v>
      </c>
      <c r="I18" s="506">
        <f t="shared" si="3"/>
        <v>45136691</v>
      </c>
      <c r="J18" s="506">
        <f t="shared" si="3"/>
        <v>232716780.37415498</v>
      </c>
      <c r="K18" s="506">
        <f t="shared" si="3"/>
        <v>62394267.625845008</v>
      </c>
      <c r="L18" s="1649">
        <f t="shared" si="3"/>
        <v>186525883</v>
      </c>
    </row>
    <row r="19" spans="2:21" ht="16.2" hidden="1" thickBot="1" x14ac:dyDescent="0.35">
      <c r="B19" s="1648" t="s">
        <v>327</v>
      </c>
      <c r="C19" s="506">
        <v>449557723</v>
      </c>
      <c r="D19" s="612">
        <v>2267000</v>
      </c>
      <c r="E19" s="506">
        <v>0</v>
      </c>
      <c r="F19" s="612">
        <v>451824723</v>
      </c>
      <c r="G19" s="506">
        <v>250272420</v>
      </c>
      <c r="H19" s="612">
        <v>15026427</v>
      </c>
      <c r="I19" s="506">
        <v>0</v>
      </c>
      <c r="J19" s="506">
        <v>265298848</v>
      </c>
      <c r="K19" s="506">
        <v>186525883</v>
      </c>
      <c r="L19" s="1649">
        <v>199285303</v>
      </c>
    </row>
    <row r="20" spans="2:21" ht="16.2" hidden="1" thickBot="1" x14ac:dyDescent="0.35">
      <c r="B20" s="1645"/>
      <c r="H20" s="613"/>
      <c r="K20" s="604" t="s">
        <v>211</v>
      </c>
      <c r="L20" s="1650"/>
    </row>
    <row r="21" spans="2:21" ht="16.2" hidden="1" thickBot="1" x14ac:dyDescent="0.35">
      <c r="B21" s="1645"/>
      <c r="L21" s="1650"/>
    </row>
    <row r="22" spans="2:21" ht="16.2" hidden="1" thickBot="1" x14ac:dyDescent="0.35">
      <c r="B22" s="1645"/>
      <c r="E22" s="609">
        <v>38780053</v>
      </c>
      <c r="H22" s="604" t="s">
        <v>214</v>
      </c>
      <c r="L22" s="1650"/>
    </row>
    <row r="23" spans="2:21" ht="16.2" hidden="1" thickBot="1" x14ac:dyDescent="0.35">
      <c r="B23" s="1645"/>
      <c r="E23" s="609">
        <v>638937</v>
      </c>
      <c r="H23" s="604" t="s">
        <v>1423</v>
      </c>
      <c r="L23" s="1650"/>
    </row>
    <row r="24" spans="2:21" ht="16.2" hidden="1" thickBot="1" x14ac:dyDescent="0.35">
      <c r="B24" s="1645"/>
      <c r="L24" s="1650"/>
    </row>
    <row r="25" spans="2:21" s="614" customFormat="1" ht="31.2" x14ac:dyDescent="0.3">
      <c r="B25" s="1621" t="s">
        <v>1559</v>
      </c>
      <c r="C25" s="1622" t="s">
        <v>318</v>
      </c>
      <c r="D25" s="1622" t="s">
        <v>319</v>
      </c>
      <c r="E25" s="1622" t="s">
        <v>320</v>
      </c>
      <c r="F25" s="1622" t="s">
        <v>321</v>
      </c>
      <c r="G25" s="1622" t="s">
        <v>322</v>
      </c>
      <c r="H25" s="1622" t="s">
        <v>323</v>
      </c>
      <c r="I25" s="1622" t="s">
        <v>324</v>
      </c>
      <c r="J25" s="1622" t="s">
        <v>325</v>
      </c>
      <c r="K25" s="1622" t="s">
        <v>326</v>
      </c>
      <c r="L25" s="1623" t="s">
        <v>213</v>
      </c>
    </row>
    <row r="26" spans="2:21" x14ac:dyDescent="0.3">
      <c r="B26" s="1624" t="s">
        <v>1565</v>
      </c>
      <c r="C26" s="637"/>
      <c r="D26" s="637"/>
      <c r="E26" s="637"/>
      <c r="F26" s="637"/>
      <c r="G26" s="637"/>
      <c r="H26" s="637"/>
      <c r="I26" s="637"/>
      <c r="J26" s="637"/>
      <c r="K26" s="637"/>
      <c r="L26" s="1625"/>
    </row>
    <row r="27" spans="2:21" hidden="1" x14ac:dyDescent="0.3">
      <c r="B27" s="1626" t="s">
        <v>2250</v>
      </c>
      <c r="C27" s="638">
        <v>0</v>
      </c>
      <c r="D27" s="638">
        <v>0</v>
      </c>
      <c r="E27" s="638">
        <v>0</v>
      </c>
      <c r="F27" s="346">
        <v>0</v>
      </c>
      <c r="G27" s="346">
        <v>0</v>
      </c>
      <c r="H27" s="346">
        <v>0</v>
      </c>
      <c r="I27" s="346">
        <v>0</v>
      </c>
      <c r="J27" s="346">
        <v>0</v>
      </c>
      <c r="K27" s="346">
        <v>0</v>
      </c>
      <c r="L27" s="1627">
        <f t="shared" ref="L27:L45" si="4">SUM(C27:K27)</f>
        <v>0</v>
      </c>
      <c r="M27" s="613"/>
    </row>
    <row r="28" spans="2:21" hidden="1" x14ac:dyDescent="0.3">
      <c r="B28" s="1626" t="s">
        <v>312</v>
      </c>
      <c r="C28" s="638"/>
      <c r="D28" s="638"/>
      <c r="E28" s="638">
        <v>0</v>
      </c>
      <c r="F28" s="638"/>
      <c r="G28" s="638"/>
      <c r="H28" s="638"/>
      <c r="I28" s="638"/>
      <c r="J28" s="638"/>
      <c r="K28" s="638"/>
      <c r="L28" s="1627">
        <f t="shared" si="4"/>
        <v>0</v>
      </c>
    </row>
    <row r="29" spans="2:21" hidden="1" x14ac:dyDescent="0.3">
      <c r="B29" s="1626" t="s">
        <v>1560</v>
      </c>
      <c r="C29" s="638">
        <v>0</v>
      </c>
      <c r="D29" s="638">
        <v>0</v>
      </c>
      <c r="E29" s="638"/>
      <c r="F29" s="638">
        <v>0</v>
      </c>
      <c r="G29" s="638"/>
      <c r="H29" s="638"/>
      <c r="I29" s="638"/>
      <c r="J29" s="638"/>
      <c r="K29" s="638"/>
      <c r="L29" s="1627">
        <f t="shared" si="4"/>
        <v>0</v>
      </c>
    </row>
    <row r="30" spans="2:21" s="614" customFormat="1" ht="16.2" thickBot="1" x14ac:dyDescent="0.35">
      <c r="B30" s="1626" t="s">
        <v>2421</v>
      </c>
      <c r="C30" s="639">
        <f t="shared" ref="C30:L30" si="5">C27+C28-C29</f>
        <v>0</v>
      </c>
      <c r="D30" s="639">
        <f t="shared" si="5"/>
        <v>0</v>
      </c>
      <c r="E30" s="639">
        <f t="shared" si="5"/>
        <v>0</v>
      </c>
      <c r="F30" s="639">
        <f t="shared" si="5"/>
        <v>0</v>
      </c>
      <c r="G30" s="639">
        <f t="shared" si="5"/>
        <v>0</v>
      </c>
      <c r="H30" s="639">
        <f t="shared" si="5"/>
        <v>0</v>
      </c>
      <c r="I30" s="639">
        <f t="shared" si="5"/>
        <v>0</v>
      </c>
      <c r="J30" s="639">
        <f t="shared" si="5"/>
        <v>0</v>
      </c>
      <c r="K30" s="639">
        <f t="shared" si="5"/>
        <v>0</v>
      </c>
      <c r="L30" s="1628">
        <f t="shared" si="5"/>
        <v>0</v>
      </c>
      <c r="S30" s="614" t="s">
        <v>3700</v>
      </c>
      <c r="T30" s="604" t="s">
        <v>214</v>
      </c>
      <c r="U30" s="614" t="s">
        <v>3699</v>
      </c>
    </row>
    <row r="31" spans="2:21" ht="16.2" thickTop="1" x14ac:dyDescent="0.3">
      <c r="B31" s="1626" t="s">
        <v>312</v>
      </c>
      <c r="C31" s="640">
        <v>0</v>
      </c>
      <c r="D31" s="640"/>
      <c r="E31" s="640">
        <v>0</v>
      </c>
      <c r="F31" s="640"/>
      <c r="G31" s="640"/>
      <c r="H31" s="640"/>
      <c r="I31" s="640"/>
      <c r="J31" s="640"/>
      <c r="K31" s="640">
        <v>0</v>
      </c>
      <c r="L31" s="1629">
        <f t="shared" si="4"/>
        <v>0</v>
      </c>
    </row>
    <row r="32" spans="2:21" x14ac:dyDescent="0.3">
      <c r="B32" s="1626" t="s">
        <v>1560</v>
      </c>
      <c r="C32" s="638">
        <v>0</v>
      </c>
      <c r="D32" s="638">
        <v>0</v>
      </c>
      <c r="E32" s="638"/>
      <c r="F32" s="638">
        <v>0</v>
      </c>
      <c r="G32" s="638"/>
      <c r="H32" s="638"/>
      <c r="I32" s="638"/>
      <c r="J32" s="638"/>
      <c r="K32" s="638"/>
      <c r="L32" s="1627">
        <f t="shared" si="4"/>
        <v>0</v>
      </c>
      <c r="N32" s="613"/>
    </row>
    <row r="33" spans="2:21" s="614" customFormat="1" ht="16.2" thickBot="1" x14ac:dyDescent="0.35">
      <c r="B33" s="1630" t="s">
        <v>2378</v>
      </c>
      <c r="C33" s="639">
        <f>C30+C31-C32</f>
        <v>0</v>
      </c>
      <c r="D33" s="639">
        <f t="shared" ref="D33:L33" si="6">D30+D31-D32</f>
        <v>0</v>
      </c>
      <c r="E33" s="639">
        <f t="shared" si="6"/>
        <v>0</v>
      </c>
      <c r="F33" s="639">
        <f t="shared" si="6"/>
        <v>0</v>
      </c>
      <c r="G33" s="639">
        <f t="shared" si="6"/>
        <v>0</v>
      </c>
      <c r="H33" s="639">
        <f t="shared" si="6"/>
        <v>0</v>
      </c>
      <c r="I33" s="639">
        <f t="shared" si="6"/>
        <v>0</v>
      </c>
      <c r="J33" s="639">
        <f t="shared" si="6"/>
        <v>0</v>
      </c>
      <c r="K33" s="639">
        <f t="shared" si="6"/>
        <v>0</v>
      </c>
      <c r="L33" s="1628">
        <f t="shared" si="6"/>
        <v>0</v>
      </c>
      <c r="N33" s="604"/>
      <c r="O33" s="604"/>
      <c r="P33" s="604"/>
      <c r="Q33" s="604"/>
      <c r="R33" s="604"/>
      <c r="S33" s="604"/>
      <c r="T33" s="604"/>
      <c r="U33" s="604"/>
    </row>
    <row r="34" spans="2:21" s="614" customFormat="1" ht="16.2" thickTop="1" x14ac:dyDescent="0.3">
      <c r="B34" s="1865" t="s">
        <v>312</v>
      </c>
      <c r="C34" s="640">
        <v>0</v>
      </c>
      <c r="D34" s="640"/>
      <c r="E34" s="640">
        <v>0</v>
      </c>
      <c r="F34" s="640"/>
      <c r="G34" s="640"/>
      <c r="H34" s="640"/>
      <c r="I34" s="640"/>
      <c r="J34" s="640"/>
      <c r="K34" s="640">
        <v>0</v>
      </c>
      <c r="L34" s="1629">
        <f t="shared" ref="L34:L35" si="7">SUM(C34:K34)</f>
        <v>0</v>
      </c>
      <c r="N34" s="604"/>
      <c r="O34" s="604"/>
      <c r="P34" s="604"/>
      <c r="Q34" s="604"/>
      <c r="R34" s="604"/>
      <c r="S34" s="604"/>
      <c r="T34" s="604"/>
      <c r="U34" s="604"/>
    </row>
    <row r="35" spans="2:21" s="614" customFormat="1" x14ac:dyDescent="0.3">
      <c r="B35" s="1865" t="s">
        <v>1560</v>
      </c>
      <c r="C35" s="638">
        <v>0</v>
      </c>
      <c r="D35" s="638">
        <v>0</v>
      </c>
      <c r="E35" s="638"/>
      <c r="F35" s="638">
        <v>0</v>
      </c>
      <c r="G35" s="638"/>
      <c r="H35" s="638"/>
      <c r="I35" s="638"/>
      <c r="J35" s="638"/>
      <c r="K35" s="638"/>
      <c r="L35" s="1627">
        <f t="shared" si="7"/>
        <v>0</v>
      </c>
      <c r="N35" s="1891">
        <v>44789</v>
      </c>
      <c r="O35" s="604" t="s">
        <v>318</v>
      </c>
      <c r="R35" s="1176">
        <v>3972580</v>
      </c>
      <c r="S35" s="1176">
        <v>0</v>
      </c>
      <c r="T35" s="614">
        <v>0</v>
      </c>
      <c r="U35" s="613">
        <f>R35-T35</f>
        <v>3972580</v>
      </c>
    </row>
    <row r="36" spans="2:21" s="614" customFormat="1" ht="16.2" thickBot="1" x14ac:dyDescent="0.35">
      <c r="B36" s="1866" t="s">
        <v>2422</v>
      </c>
      <c r="C36" s="639">
        <f>C33+C34-C35</f>
        <v>0</v>
      </c>
      <c r="D36" s="639">
        <f t="shared" ref="D36:L36" si="8">D33+D34-D35</f>
        <v>0</v>
      </c>
      <c r="E36" s="639">
        <f t="shared" si="8"/>
        <v>0</v>
      </c>
      <c r="F36" s="639">
        <f t="shared" si="8"/>
        <v>0</v>
      </c>
      <c r="G36" s="639">
        <f t="shared" si="8"/>
        <v>0</v>
      </c>
      <c r="H36" s="639">
        <f t="shared" si="8"/>
        <v>0</v>
      </c>
      <c r="I36" s="639">
        <f t="shared" si="8"/>
        <v>0</v>
      </c>
      <c r="J36" s="639">
        <f t="shared" si="8"/>
        <v>0</v>
      </c>
      <c r="K36" s="639">
        <f t="shared" si="8"/>
        <v>0</v>
      </c>
      <c r="L36" s="1628">
        <f t="shared" si="8"/>
        <v>0</v>
      </c>
      <c r="N36" s="1891">
        <v>44841</v>
      </c>
      <c r="O36" s="604" t="s">
        <v>3698</v>
      </c>
      <c r="P36" s="604"/>
      <c r="Q36" s="604"/>
      <c r="R36" s="1176">
        <v>349404</v>
      </c>
      <c r="S36" s="1176">
        <f>R36*0.4*85/365</f>
        <v>32547.22191780822</v>
      </c>
      <c r="T36" s="604"/>
      <c r="U36" s="613">
        <f>R36-S36</f>
        <v>316856.77808219177</v>
      </c>
    </row>
    <row r="37" spans="2:21" s="614" customFormat="1" ht="16.2" thickTop="1" x14ac:dyDescent="0.3">
      <c r="B37" s="1630" t="s">
        <v>1561</v>
      </c>
      <c r="C37" s="641"/>
      <c r="D37" s="641"/>
      <c r="E37" s="641"/>
      <c r="F37" s="641"/>
      <c r="G37" s="641"/>
      <c r="H37" s="641"/>
      <c r="I37" s="641"/>
      <c r="J37" s="641"/>
      <c r="K37" s="641"/>
      <c r="L37" s="1627">
        <f t="shared" si="4"/>
        <v>0</v>
      </c>
      <c r="N37" s="1891">
        <v>44925</v>
      </c>
      <c r="O37" s="604" t="s">
        <v>3697</v>
      </c>
      <c r="P37" s="604"/>
      <c r="Q37" s="604"/>
      <c r="R37" s="1176">
        <f>6291000+853080</f>
        <v>7144080</v>
      </c>
      <c r="S37" s="1176">
        <f>R37*18.1%*2/365</f>
        <v>7085.3615342465764</v>
      </c>
      <c r="T37" s="604"/>
      <c r="U37" s="613">
        <f>R37-S37</f>
        <v>7136994.6384657538</v>
      </c>
    </row>
    <row r="38" spans="2:21" hidden="1" x14ac:dyDescent="0.3">
      <c r="B38" s="1630" t="s">
        <v>2250</v>
      </c>
      <c r="C38" s="609">
        <v>0</v>
      </c>
      <c r="D38" s="609">
        <v>0</v>
      </c>
      <c r="E38" s="609">
        <v>0</v>
      </c>
      <c r="F38" s="609">
        <v>0</v>
      </c>
      <c r="G38" s="609">
        <v>0</v>
      </c>
      <c r="H38" s="609">
        <v>0</v>
      </c>
      <c r="I38" s="609">
        <v>0</v>
      </c>
      <c r="J38" s="609">
        <v>0</v>
      </c>
      <c r="K38" s="609">
        <v>0</v>
      </c>
      <c r="L38" s="1627">
        <f t="shared" si="4"/>
        <v>0</v>
      </c>
      <c r="N38" s="1891">
        <v>44925</v>
      </c>
      <c r="O38" s="604" t="s">
        <v>3696</v>
      </c>
      <c r="R38" s="1176">
        <v>4153349</v>
      </c>
      <c r="S38" s="1176">
        <f>R38*9.5%*2/365</f>
        <v>2162.0172876712331</v>
      </c>
      <c r="T38" s="614"/>
      <c r="U38" s="613">
        <f>R38-S38</f>
        <v>4151186.9827123289</v>
      </c>
    </row>
    <row r="39" spans="2:21" hidden="1" x14ac:dyDescent="0.3">
      <c r="B39" s="1626" t="s">
        <v>1562</v>
      </c>
      <c r="C39" s="638">
        <v>0</v>
      </c>
      <c r="D39" s="638">
        <v>0</v>
      </c>
      <c r="E39" s="638">
        <v>0</v>
      </c>
      <c r="F39" s="638">
        <v>0</v>
      </c>
      <c r="G39" s="638">
        <v>0</v>
      </c>
      <c r="H39" s="638">
        <v>0</v>
      </c>
      <c r="I39" s="638">
        <v>0</v>
      </c>
      <c r="J39" s="638">
        <v>0</v>
      </c>
      <c r="K39" s="638">
        <v>0</v>
      </c>
      <c r="L39" s="1627">
        <f t="shared" si="4"/>
        <v>0</v>
      </c>
      <c r="N39" s="1891"/>
      <c r="O39" s="604" t="s">
        <v>324</v>
      </c>
      <c r="R39" s="1176"/>
      <c r="S39" s="1176"/>
      <c r="T39" s="614"/>
      <c r="U39" s="613"/>
    </row>
    <row r="40" spans="2:21" hidden="1" x14ac:dyDescent="0.3">
      <c r="B40" s="1626" t="s">
        <v>1563</v>
      </c>
      <c r="C40" s="638">
        <v>0</v>
      </c>
      <c r="D40" s="638">
        <v>0</v>
      </c>
      <c r="E40" s="638">
        <v>0</v>
      </c>
      <c r="F40" s="638">
        <v>0</v>
      </c>
      <c r="G40" s="638">
        <v>0</v>
      </c>
      <c r="H40" s="638">
        <v>0</v>
      </c>
      <c r="I40" s="638">
        <v>0</v>
      </c>
      <c r="J40" s="638">
        <v>0</v>
      </c>
      <c r="K40" s="638">
        <v>0</v>
      </c>
      <c r="L40" s="1627">
        <f t="shared" si="4"/>
        <v>0</v>
      </c>
      <c r="N40" s="614"/>
      <c r="O40" s="614"/>
      <c r="P40" s="614"/>
      <c r="Q40" s="614"/>
      <c r="R40" s="614"/>
      <c r="S40" s="614"/>
      <c r="T40" s="614"/>
      <c r="U40" s="614"/>
    </row>
    <row r="41" spans="2:21" hidden="1" x14ac:dyDescent="0.3">
      <c r="B41" s="1626" t="s">
        <v>2006</v>
      </c>
      <c r="C41" s="1013">
        <v>0</v>
      </c>
      <c r="D41" s="1013">
        <v>0</v>
      </c>
      <c r="E41" s="1013">
        <v>0</v>
      </c>
      <c r="F41" s="1013">
        <v>0</v>
      </c>
      <c r="G41" s="1013">
        <v>0</v>
      </c>
      <c r="H41" s="1013">
        <v>0</v>
      </c>
      <c r="I41" s="1013">
        <v>0</v>
      </c>
      <c r="J41" s="1013">
        <v>0</v>
      </c>
      <c r="K41" s="1013">
        <v>0</v>
      </c>
      <c r="L41" s="1627">
        <f t="shared" si="4"/>
        <v>0</v>
      </c>
      <c r="N41" s="614"/>
      <c r="O41" s="614"/>
      <c r="P41" s="614"/>
      <c r="Q41" s="614"/>
      <c r="R41" s="1890">
        <f>SUM(R35:R38)</f>
        <v>15619413</v>
      </c>
      <c r="S41" s="613">
        <f>SUM(S35:S38)</f>
        <v>41794.600739726025</v>
      </c>
      <c r="T41" s="614"/>
      <c r="U41" s="1890">
        <f>SUM(U35:U38)</f>
        <v>15577618.399260275</v>
      </c>
    </row>
    <row r="42" spans="2:21" ht="16.2" thickBot="1" x14ac:dyDescent="0.35">
      <c r="B42" s="1626" t="s">
        <v>2421</v>
      </c>
      <c r="C42" s="642">
        <f>C38+C39-C40</f>
        <v>0</v>
      </c>
      <c r="D42" s="642">
        <f t="shared" ref="D42:L42" si="9">D38+D39-D40</f>
        <v>0</v>
      </c>
      <c r="E42" s="642">
        <f t="shared" si="9"/>
        <v>0</v>
      </c>
      <c r="F42" s="642">
        <f t="shared" si="9"/>
        <v>0</v>
      </c>
      <c r="G42" s="642">
        <f t="shared" si="9"/>
        <v>0</v>
      </c>
      <c r="H42" s="642">
        <f t="shared" si="9"/>
        <v>0</v>
      </c>
      <c r="I42" s="642">
        <f t="shared" si="9"/>
        <v>0</v>
      </c>
      <c r="J42" s="642">
        <f t="shared" si="9"/>
        <v>0</v>
      </c>
      <c r="K42" s="642">
        <f t="shared" si="9"/>
        <v>0</v>
      </c>
      <c r="L42" s="1631">
        <f t="shared" si="9"/>
        <v>0</v>
      </c>
      <c r="N42" s="614"/>
      <c r="O42" s="614" t="s">
        <v>3695</v>
      </c>
      <c r="P42" s="614"/>
      <c r="Q42" s="614"/>
      <c r="R42" s="1176">
        <v>4076727</v>
      </c>
      <c r="S42" s="1176"/>
      <c r="T42" s="614"/>
      <c r="U42" s="613">
        <f>R42</f>
        <v>4076727</v>
      </c>
    </row>
    <row r="43" spans="2:21" ht="16.2" thickTop="1" x14ac:dyDescent="0.3">
      <c r="B43" s="1626" t="s">
        <v>1562</v>
      </c>
      <c r="C43" s="638">
        <v>0</v>
      </c>
      <c r="D43" s="640">
        <v>0</v>
      </c>
      <c r="E43" s="640">
        <v>0</v>
      </c>
      <c r="F43" s="640">
        <v>0</v>
      </c>
      <c r="G43" s="640">
        <v>0</v>
      </c>
      <c r="H43" s="640">
        <v>0</v>
      </c>
      <c r="I43" s="640">
        <v>0</v>
      </c>
      <c r="J43" s="640">
        <v>0</v>
      </c>
      <c r="K43" s="640">
        <v>0</v>
      </c>
      <c r="L43" s="1627">
        <f>SUM(C43:K43)</f>
        <v>0</v>
      </c>
      <c r="N43" s="614"/>
      <c r="O43" s="614"/>
      <c r="P43" s="614"/>
      <c r="Q43" s="614"/>
      <c r="R43" s="1890">
        <f>R41++R42</f>
        <v>19696140</v>
      </c>
      <c r="S43" s="1890"/>
      <c r="T43" s="614"/>
      <c r="U43" s="1890">
        <f>U41+U42</f>
        <v>19654345.399260275</v>
      </c>
    </row>
    <row r="44" spans="2:21" x14ac:dyDescent="0.3">
      <c r="B44" s="1626" t="s">
        <v>1563</v>
      </c>
      <c r="C44" s="638"/>
      <c r="D44" s="638">
        <v>0</v>
      </c>
      <c r="E44" s="638"/>
      <c r="F44" s="638">
        <v>0</v>
      </c>
      <c r="G44" s="638">
        <v>0</v>
      </c>
      <c r="H44" s="638">
        <v>0</v>
      </c>
      <c r="I44" s="638">
        <v>0</v>
      </c>
      <c r="J44" s="638">
        <v>0</v>
      </c>
      <c r="K44" s="638">
        <v>0</v>
      </c>
      <c r="L44" s="1627">
        <f t="shared" si="4"/>
        <v>0</v>
      </c>
    </row>
    <row r="45" spans="2:21" x14ac:dyDescent="0.3">
      <c r="B45" s="1632" t="s">
        <v>2006</v>
      </c>
      <c r="C45" s="1013">
        <v>0</v>
      </c>
      <c r="D45" s="1013">
        <v>0</v>
      </c>
      <c r="E45" s="1013">
        <v>0</v>
      </c>
      <c r="F45" s="1013">
        <v>0</v>
      </c>
      <c r="G45" s="1013">
        <v>0</v>
      </c>
      <c r="H45" s="1013">
        <v>0</v>
      </c>
      <c r="I45" s="1013">
        <v>0</v>
      </c>
      <c r="J45" s="1013">
        <v>0</v>
      </c>
      <c r="K45" s="1013">
        <v>0</v>
      </c>
      <c r="L45" s="1627">
        <f t="shared" si="4"/>
        <v>0</v>
      </c>
    </row>
    <row r="46" spans="2:21" ht="16.2" thickBot="1" x14ac:dyDescent="0.35">
      <c r="B46" s="1633" t="s">
        <v>2378</v>
      </c>
      <c r="C46" s="639">
        <f>C42+C43-C44</f>
        <v>0</v>
      </c>
      <c r="D46" s="639">
        <f t="shared" ref="D46:L46" si="10">D42+D43-D44</f>
        <v>0</v>
      </c>
      <c r="E46" s="639">
        <f t="shared" si="10"/>
        <v>0</v>
      </c>
      <c r="F46" s="639">
        <f t="shared" si="10"/>
        <v>0</v>
      </c>
      <c r="G46" s="639">
        <f t="shared" si="10"/>
        <v>0</v>
      </c>
      <c r="H46" s="639">
        <f t="shared" si="10"/>
        <v>0</v>
      </c>
      <c r="I46" s="639">
        <f t="shared" si="10"/>
        <v>0</v>
      </c>
      <c r="J46" s="639">
        <f t="shared" si="10"/>
        <v>0</v>
      </c>
      <c r="K46" s="639">
        <f t="shared" si="10"/>
        <v>0</v>
      </c>
      <c r="L46" s="1628">
        <f t="shared" si="10"/>
        <v>0</v>
      </c>
    </row>
    <row r="47" spans="2:21" ht="16.2" thickTop="1" x14ac:dyDescent="0.3">
      <c r="B47" s="1865" t="s">
        <v>1562</v>
      </c>
      <c r="C47" s="638">
        <v>0</v>
      </c>
      <c r="D47" s="640">
        <v>0</v>
      </c>
      <c r="E47" s="640">
        <v>0</v>
      </c>
      <c r="F47" s="640">
        <v>0</v>
      </c>
      <c r="G47" s="640">
        <v>0</v>
      </c>
      <c r="H47" s="640">
        <v>0</v>
      </c>
      <c r="I47" s="640">
        <v>0</v>
      </c>
      <c r="J47" s="640">
        <v>0</v>
      </c>
      <c r="K47" s="640">
        <v>0</v>
      </c>
      <c r="L47" s="1627">
        <f>SUM(C47:K47)</f>
        <v>0</v>
      </c>
    </row>
    <row r="48" spans="2:21" x14ac:dyDescent="0.3">
      <c r="B48" s="1865" t="s">
        <v>1563</v>
      </c>
      <c r="C48" s="638"/>
      <c r="D48" s="638">
        <v>0</v>
      </c>
      <c r="E48" s="638"/>
      <c r="F48" s="638">
        <v>0</v>
      </c>
      <c r="G48" s="638">
        <v>0</v>
      </c>
      <c r="H48" s="638">
        <v>0</v>
      </c>
      <c r="I48" s="638">
        <v>0</v>
      </c>
      <c r="J48" s="638">
        <v>0</v>
      </c>
      <c r="K48" s="638">
        <v>0</v>
      </c>
      <c r="L48" s="1627">
        <f t="shared" ref="L48:L49" si="11">SUM(C48:K48)</f>
        <v>0</v>
      </c>
    </row>
    <row r="49" spans="2:13" x14ac:dyDescent="0.3">
      <c r="B49" s="1867" t="s">
        <v>2006</v>
      </c>
      <c r="C49" s="1013">
        <v>0</v>
      </c>
      <c r="D49" s="1013">
        <v>0</v>
      </c>
      <c r="E49" s="1013">
        <v>0</v>
      </c>
      <c r="F49" s="1013">
        <v>0</v>
      </c>
      <c r="G49" s="1013">
        <v>0</v>
      </c>
      <c r="H49" s="1013">
        <v>0</v>
      </c>
      <c r="I49" s="1013">
        <v>0</v>
      </c>
      <c r="J49" s="1013">
        <v>0</v>
      </c>
      <c r="K49" s="1013">
        <v>0</v>
      </c>
      <c r="L49" s="1627">
        <f t="shared" si="11"/>
        <v>0</v>
      </c>
    </row>
    <row r="50" spans="2:13" ht="16.2" thickBot="1" x14ac:dyDescent="0.35">
      <c r="B50" s="1868" t="s">
        <v>2422</v>
      </c>
      <c r="C50" s="639">
        <f>C46+C47-C48</f>
        <v>0</v>
      </c>
      <c r="D50" s="639">
        <f t="shared" ref="D50:L50" si="12">D46+D47-D48</f>
        <v>0</v>
      </c>
      <c r="E50" s="639">
        <f t="shared" si="12"/>
        <v>0</v>
      </c>
      <c r="F50" s="639">
        <f t="shared" si="12"/>
        <v>0</v>
      </c>
      <c r="G50" s="639">
        <f t="shared" si="12"/>
        <v>0</v>
      </c>
      <c r="H50" s="639">
        <f t="shared" si="12"/>
        <v>0</v>
      </c>
      <c r="I50" s="639">
        <f t="shared" si="12"/>
        <v>0</v>
      </c>
      <c r="J50" s="639">
        <f t="shared" si="12"/>
        <v>0</v>
      </c>
      <c r="K50" s="639">
        <f t="shared" si="12"/>
        <v>0</v>
      </c>
      <c r="L50" s="1628">
        <f t="shared" si="12"/>
        <v>0</v>
      </c>
    </row>
    <row r="51" spans="2:13" ht="16.2" thickTop="1" x14ac:dyDescent="0.3">
      <c r="B51" s="1630" t="s">
        <v>1564</v>
      </c>
      <c r="C51" s="640"/>
      <c r="D51" s="640"/>
      <c r="E51" s="640"/>
      <c r="F51" s="640"/>
      <c r="G51" s="640"/>
      <c r="H51" s="640"/>
      <c r="I51" s="640"/>
      <c r="J51" s="640"/>
      <c r="K51" s="640"/>
      <c r="L51" s="1629"/>
    </row>
    <row r="52" spans="2:13" x14ac:dyDescent="0.3">
      <c r="B52" s="1865" t="s">
        <v>2422</v>
      </c>
      <c r="C52" s="638">
        <f>C32-C45</f>
        <v>0</v>
      </c>
      <c r="D52" s="638">
        <f>D32-D45</f>
        <v>0</v>
      </c>
      <c r="E52" s="638">
        <f t="shared" ref="E52:L53" si="13">E32-E45</f>
        <v>0</v>
      </c>
      <c r="F52" s="638">
        <f t="shared" si="13"/>
        <v>0</v>
      </c>
      <c r="G52" s="638">
        <f t="shared" si="13"/>
        <v>0</v>
      </c>
      <c r="H52" s="638">
        <f t="shared" si="13"/>
        <v>0</v>
      </c>
      <c r="I52" s="638">
        <f t="shared" si="13"/>
        <v>0</v>
      </c>
      <c r="J52" s="638">
        <f t="shared" si="13"/>
        <v>0</v>
      </c>
      <c r="K52" s="638">
        <f t="shared" si="13"/>
        <v>0</v>
      </c>
      <c r="L52" s="1627">
        <f t="shared" si="13"/>
        <v>0</v>
      </c>
    </row>
    <row r="53" spans="2:13" ht="16.2" thickBot="1" x14ac:dyDescent="0.35">
      <c r="B53" s="1634" t="s">
        <v>2378</v>
      </c>
      <c r="C53" s="1635">
        <f>C33-C46</f>
        <v>0</v>
      </c>
      <c r="D53" s="1635">
        <f>D33-D46</f>
        <v>0</v>
      </c>
      <c r="E53" s="1635">
        <f t="shared" si="13"/>
        <v>0</v>
      </c>
      <c r="F53" s="1635">
        <f t="shared" si="13"/>
        <v>0</v>
      </c>
      <c r="G53" s="1635">
        <f t="shared" si="13"/>
        <v>0</v>
      </c>
      <c r="H53" s="1635">
        <f t="shared" si="13"/>
        <v>0</v>
      </c>
      <c r="I53" s="1635">
        <f t="shared" si="13"/>
        <v>0</v>
      </c>
      <c r="J53" s="1635">
        <f t="shared" si="13"/>
        <v>0</v>
      </c>
      <c r="K53" s="1635">
        <f t="shared" si="13"/>
        <v>0</v>
      </c>
      <c r="L53" s="1636">
        <f t="shared" si="13"/>
        <v>0</v>
      </c>
      <c r="M53" s="613"/>
    </row>
    <row r="54" spans="2:13" x14ac:dyDescent="0.3">
      <c r="C54" s="1551"/>
      <c r="D54" s="1551"/>
      <c r="E54" s="1551"/>
      <c r="F54" s="1551"/>
      <c r="G54" s="1551"/>
      <c r="H54" s="1551"/>
      <c r="I54" s="1551"/>
      <c r="J54" s="1551"/>
      <c r="K54" s="1551"/>
      <c r="L54" s="1551"/>
      <c r="M54" s="613"/>
    </row>
    <row r="56" spans="2:13" ht="16.2" thickBot="1" x14ac:dyDescent="0.35">
      <c r="B56" s="614" t="s">
        <v>2020</v>
      </c>
    </row>
    <row r="57" spans="2:13" ht="31.2" x14ac:dyDescent="0.3">
      <c r="B57" s="1621" t="s">
        <v>1559</v>
      </c>
      <c r="C57" s="1622" t="s">
        <v>1566</v>
      </c>
      <c r="D57" s="1622" t="s">
        <v>1567</v>
      </c>
      <c r="E57" s="1622" t="s">
        <v>1568</v>
      </c>
      <c r="F57" s="1651" t="s">
        <v>213</v>
      </c>
    </row>
    <row r="58" spans="2:13" x14ac:dyDescent="0.3">
      <c r="B58" s="1624" t="s">
        <v>1565</v>
      </c>
      <c r="C58" s="637"/>
      <c r="D58" s="637"/>
      <c r="E58" s="637"/>
      <c r="F58" s="1625"/>
    </row>
    <row r="59" spans="2:13" hidden="1" x14ac:dyDescent="0.3">
      <c r="B59" s="1626" t="s">
        <v>2250</v>
      </c>
      <c r="C59" s="638">
        <v>0</v>
      </c>
      <c r="D59" s="638">
        <v>0</v>
      </c>
      <c r="E59" s="638">
        <v>0</v>
      </c>
      <c r="F59" s="1652">
        <f>SUM(C59:E59)</f>
        <v>0</v>
      </c>
    </row>
    <row r="60" spans="2:13" hidden="1" x14ac:dyDescent="0.3">
      <c r="B60" s="1626" t="s">
        <v>312</v>
      </c>
      <c r="C60" s="638"/>
      <c r="D60" s="638"/>
      <c r="E60" s="638">
        <v>0</v>
      </c>
      <c r="F60" s="1652">
        <f t="shared" ref="F60:F72" si="14">SUM(C60:E60)</f>
        <v>0</v>
      </c>
    </row>
    <row r="61" spans="2:13" hidden="1" x14ac:dyDescent="0.3">
      <c r="B61" s="1626" t="s">
        <v>1560</v>
      </c>
      <c r="C61" s="638">
        <v>0</v>
      </c>
      <c r="D61" s="638">
        <v>0</v>
      </c>
      <c r="E61" s="638"/>
      <c r="F61" s="1653">
        <f t="shared" si="14"/>
        <v>0</v>
      </c>
    </row>
    <row r="62" spans="2:13" ht="16.2" thickBot="1" x14ac:dyDescent="0.35">
      <c r="B62" s="1626" t="s">
        <v>2421</v>
      </c>
      <c r="C62" s="639">
        <f>C59+C60-C61</f>
        <v>0</v>
      </c>
      <c r="D62" s="639">
        <f t="shared" ref="D62" si="15">D59+D60-D61</f>
        <v>0</v>
      </c>
      <c r="E62" s="639">
        <f t="shared" ref="E62" si="16">E59+E60-E61</f>
        <v>0</v>
      </c>
      <c r="F62" s="1628">
        <f t="shared" ref="F62" si="17">F59+F60-F61</f>
        <v>0</v>
      </c>
    </row>
    <row r="63" spans="2:13" ht="16.2" thickTop="1" x14ac:dyDescent="0.3">
      <c r="B63" s="1626" t="s">
        <v>312</v>
      </c>
      <c r="C63" s="640">
        <v>0</v>
      </c>
      <c r="D63" s="640"/>
      <c r="E63" s="640">
        <v>0</v>
      </c>
      <c r="F63" s="1653">
        <f t="shared" si="14"/>
        <v>0</v>
      </c>
    </row>
    <row r="64" spans="2:13" x14ac:dyDescent="0.3">
      <c r="B64" s="1626" t="s">
        <v>1560</v>
      </c>
      <c r="C64" s="638">
        <v>0</v>
      </c>
      <c r="D64" s="638">
        <v>0</v>
      </c>
      <c r="E64" s="638"/>
      <c r="F64" s="1652">
        <f t="shared" si="14"/>
        <v>0</v>
      </c>
    </row>
    <row r="65" spans="2:6" ht="16.2" thickBot="1" x14ac:dyDescent="0.35">
      <c r="B65" s="1630" t="s">
        <v>2378</v>
      </c>
      <c r="C65" s="639">
        <f>C62+C63-C64</f>
        <v>0</v>
      </c>
      <c r="D65" s="639">
        <f t="shared" ref="D65" si="18">D62+D63-D64</f>
        <v>0</v>
      </c>
      <c r="E65" s="639">
        <f t="shared" ref="E65" si="19">E62+E63-E64</f>
        <v>0</v>
      </c>
      <c r="F65" s="1628">
        <f t="shared" ref="F65" si="20">F62+F63-F64</f>
        <v>0</v>
      </c>
    </row>
    <row r="66" spans="2:6" ht="16.2" thickTop="1" x14ac:dyDescent="0.3">
      <c r="B66" s="1626" t="s">
        <v>312</v>
      </c>
      <c r="C66" s="640">
        <v>0</v>
      </c>
      <c r="D66" s="640"/>
      <c r="E66" s="640">
        <v>0</v>
      </c>
      <c r="F66" s="1653">
        <f t="shared" ref="F66:F67" si="21">SUM(C66:E66)</f>
        <v>0</v>
      </c>
    </row>
    <row r="67" spans="2:6" x14ac:dyDescent="0.3">
      <c r="B67" s="1626" t="s">
        <v>1560</v>
      </c>
      <c r="C67" s="638">
        <v>0</v>
      </c>
      <c r="D67" s="638">
        <v>0</v>
      </c>
      <c r="E67" s="638"/>
      <c r="F67" s="1652">
        <f t="shared" si="21"/>
        <v>0</v>
      </c>
    </row>
    <row r="68" spans="2:6" ht="16.2" thickBot="1" x14ac:dyDescent="0.35">
      <c r="B68" s="1630" t="s">
        <v>2422</v>
      </c>
      <c r="C68" s="639">
        <f>C65+C66-C67</f>
        <v>0</v>
      </c>
      <c r="D68" s="639">
        <f t="shared" ref="D68:F68" si="22">D65+D66-D67</f>
        <v>0</v>
      </c>
      <c r="E68" s="639">
        <f t="shared" si="22"/>
        <v>0</v>
      </c>
      <c r="F68" s="1628">
        <f t="shared" si="22"/>
        <v>0</v>
      </c>
    </row>
    <row r="69" spans="2:6" ht="16.2" thickTop="1" x14ac:dyDescent="0.3">
      <c r="B69" s="1630" t="s">
        <v>1561</v>
      </c>
      <c r="C69" s="641"/>
      <c r="D69" s="641"/>
      <c r="E69" s="641"/>
      <c r="F69" s="1653">
        <f t="shared" si="14"/>
        <v>0</v>
      </c>
    </row>
    <row r="70" spans="2:6" hidden="1" x14ac:dyDescent="0.3">
      <c r="B70" s="1630" t="s">
        <v>2250</v>
      </c>
      <c r="C70" s="609">
        <v>0</v>
      </c>
      <c r="D70" s="609">
        <v>0</v>
      </c>
      <c r="E70" s="609">
        <v>0</v>
      </c>
      <c r="F70" s="1652">
        <f t="shared" si="14"/>
        <v>0</v>
      </c>
    </row>
    <row r="71" spans="2:6" hidden="1" x14ac:dyDescent="0.3">
      <c r="B71" s="1626" t="s">
        <v>1562</v>
      </c>
      <c r="C71" s="638">
        <v>0</v>
      </c>
      <c r="D71" s="638">
        <v>0</v>
      </c>
      <c r="E71" s="638">
        <v>0</v>
      </c>
      <c r="F71" s="1652">
        <f t="shared" si="14"/>
        <v>0</v>
      </c>
    </row>
    <row r="72" spans="2:6" hidden="1" x14ac:dyDescent="0.3">
      <c r="B72" s="1626" t="s">
        <v>1563</v>
      </c>
      <c r="C72" s="638"/>
      <c r="D72" s="638"/>
      <c r="E72" s="638"/>
      <c r="F72" s="1653">
        <f t="shared" si="14"/>
        <v>0</v>
      </c>
    </row>
    <row r="73" spans="2:6" ht="16.2" thickBot="1" x14ac:dyDescent="0.35">
      <c r="B73" s="1630" t="s">
        <v>2421</v>
      </c>
      <c r="C73" s="639">
        <f>C70+C71-C72</f>
        <v>0</v>
      </c>
      <c r="D73" s="639">
        <f t="shared" ref="D73:F73" si="23">D70+D71-D72</f>
        <v>0</v>
      </c>
      <c r="E73" s="639">
        <f t="shared" si="23"/>
        <v>0</v>
      </c>
      <c r="F73" s="1628">
        <f t="shared" si="23"/>
        <v>0</v>
      </c>
    </row>
    <row r="74" spans="2:6" ht="16.2" thickTop="1" x14ac:dyDescent="0.3">
      <c r="B74" s="1626" t="s">
        <v>1562</v>
      </c>
      <c r="C74" s="638">
        <v>0</v>
      </c>
      <c r="D74" s="640">
        <v>0</v>
      </c>
      <c r="E74" s="640">
        <v>0</v>
      </c>
      <c r="F74" s="1629">
        <v>0</v>
      </c>
    </row>
    <row r="75" spans="2:6" x14ac:dyDescent="0.3">
      <c r="B75" s="1626" t="s">
        <v>1563</v>
      </c>
      <c r="C75" s="638"/>
      <c r="D75" s="638">
        <v>0</v>
      </c>
      <c r="E75" s="638"/>
      <c r="F75" s="1627">
        <v>0</v>
      </c>
    </row>
    <row r="76" spans="2:6" x14ac:dyDescent="0.3">
      <c r="B76" s="1632" t="s">
        <v>2021</v>
      </c>
      <c r="C76" s="1013">
        <v>0</v>
      </c>
      <c r="D76" s="1013">
        <v>0</v>
      </c>
      <c r="E76" s="1013">
        <v>0</v>
      </c>
      <c r="F76" s="1654">
        <v>0</v>
      </c>
    </row>
    <row r="77" spans="2:6" ht="16.2" thickBot="1" x14ac:dyDescent="0.35">
      <c r="B77" s="1633" t="s">
        <v>2378</v>
      </c>
      <c r="C77" s="639">
        <f>C73+C74-C75</f>
        <v>0</v>
      </c>
      <c r="D77" s="639">
        <f t="shared" ref="D77" si="24">D73+D74-D75</f>
        <v>0</v>
      </c>
      <c r="E77" s="639">
        <f t="shared" ref="E77" si="25">E73+E74-E75</f>
        <v>0</v>
      </c>
      <c r="F77" s="1628">
        <f t="shared" ref="F77" si="26">F73+F74-F75</f>
        <v>0</v>
      </c>
    </row>
    <row r="78" spans="2:6" ht="16.2" thickTop="1" x14ac:dyDescent="0.3">
      <c r="B78" s="1626" t="s">
        <v>1562</v>
      </c>
      <c r="C78" s="638">
        <v>0</v>
      </c>
      <c r="D78" s="640">
        <v>0</v>
      </c>
      <c r="E78" s="640">
        <v>0</v>
      </c>
      <c r="F78" s="1629">
        <v>0</v>
      </c>
    </row>
    <row r="79" spans="2:6" x14ac:dyDescent="0.3">
      <c r="B79" s="1626" t="s">
        <v>1563</v>
      </c>
      <c r="C79" s="638"/>
      <c r="D79" s="638">
        <v>0</v>
      </c>
      <c r="E79" s="638"/>
      <c r="F79" s="1627">
        <v>0</v>
      </c>
    </row>
    <row r="80" spans="2:6" x14ac:dyDescent="0.3">
      <c r="B80" s="1632" t="s">
        <v>2021</v>
      </c>
      <c r="C80" s="1013">
        <v>0</v>
      </c>
      <c r="D80" s="1013">
        <v>0</v>
      </c>
      <c r="E80" s="1013">
        <v>0</v>
      </c>
      <c r="F80" s="1654">
        <v>0</v>
      </c>
    </row>
    <row r="81" spans="2:6" ht="16.2" thickBot="1" x14ac:dyDescent="0.35">
      <c r="B81" s="1633" t="s">
        <v>2422</v>
      </c>
      <c r="C81" s="639">
        <f>C77+C78-C79</f>
        <v>0</v>
      </c>
      <c r="D81" s="639">
        <f t="shared" ref="D81:F81" si="27">D77+D78-D79</f>
        <v>0</v>
      </c>
      <c r="E81" s="639">
        <f t="shared" si="27"/>
        <v>0</v>
      </c>
      <c r="F81" s="1628">
        <f t="shared" si="27"/>
        <v>0</v>
      </c>
    </row>
    <row r="82" spans="2:6" ht="16.2" thickTop="1" x14ac:dyDescent="0.3">
      <c r="B82" s="1630" t="s">
        <v>1564</v>
      </c>
      <c r="C82" s="640"/>
      <c r="D82" s="640"/>
      <c r="E82" s="640"/>
      <c r="F82" s="1629"/>
    </row>
    <row r="83" spans="2:6" x14ac:dyDescent="0.3">
      <c r="B83" s="1626" t="s">
        <v>2422</v>
      </c>
      <c r="C83" s="638">
        <f>C64-C76</f>
        <v>0</v>
      </c>
      <c r="D83" s="638">
        <f t="shared" ref="D83:F84" si="28">D64-D76</f>
        <v>0</v>
      </c>
      <c r="E83" s="638">
        <f t="shared" si="28"/>
        <v>0</v>
      </c>
      <c r="F83" s="1627">
        <f t="shared" si="28"/>
        <v>0</v>
      </c>
    </row>
    <row r="84" spans="2:6" ht="16.2" thickBot="1" x14ac:dyDescent="0.35">
      <c r="B84" s="1634" t="s">
        <v>2378</v>
      </c>
      <c r="C84" s="1635">
        <f>C65-C77</f>
        <v>0</v>
      </c>
      <c r="D84" s="1635">
        <f t="shared" si="28"/>
        <v>0</v>
      </c>
      <c r="E84" s="1635">
        <f t="shared" si="28"/>
        <v>0</v>
      </c>
      <c r="F84" s="1636">
        <f t="shared" si="28"/>
        <v>0</v>
      </c>
    </row>
  </sheetData>
  <mergeCells count="4">
    <mergeCell ref="C4:F4"/>
    <mergeCell ref="G4:J4"/>
    <mergeCell ref="K4:L4"/>
    <mergeCell ref="B2:G2"/>
  </mergeCells>
  <pageMargins left="0.7" right="0.7" top="0.75" bottom="0.75" header="0.3" footer="0.3"/>
  <pageSetup scale="5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02"/>
  <sheetViews>
    <sheetView view="pageBreakPreview" topLeftCell="A52" zoomScale="70" zoomScaleSheetLayoutView="70" workbookViewId="0">
      <selection activeCell="F69" sqref="F69"/>
    </sheetView>
  </sheetViews>
  <sheetFormatPr defaultColWidth="9.109375" defaultRowHeight="15.6" x14ac:dyDescent="0.3"/>
  <cols>
    <col min="1" max="1" width="9.109375" style="297"/>
    <col min="2" max="2" width="5.33203125" style="297" customWidth="1"/>
    <col min="3" max="3" width="55.109375" style="297" customWidth="1"/>
    <col min="4" max="4" width="18.44140625" style="297" customWidth="1"/>
    <col min="5" max="5" width="19.44140625" style="297" bestFit="1" customWidth="1"/>
    <col min="6" max="6" width="18.77734375" style="297" customWidth="1"/>
    <col min="7" max="7" width="21.33203125" style="297" customWidth="1"/>
    <col min="8" max="11" width="19.44140625" style="297" customWidth="1"/>
    <col min="12" max="12" width="16.5546875" style="297" bestFit="1" customWidth="1"/>
    <col min="13" max="13" width="13.33203125" style="297" bestFit="1" customWidth="1"/>
    <col min="14" max="15" width="10" style="297" bestFit="1" customWidth="1"/>
    <col min="16" max="16384" width="9.109375" style="297"/>
  </cols>
  <sheetData>
    <row r="1" spans="2:11" ht="16.2" thickBot="1" x14ac:dyDescent="0.35"/>
    <row r="2" spans="2:11" x14ac:dyDescent="0.3">
      <c r="B2" s="2004" t="str">
        <f>'sch 1-PPE'!B2:G2</f>
        <v>Arunjyoti Bio Ventures Limited</v>
      </c>
      <c r="C2" s="2005"/>
      <c r="D2" s="2005"/>
      <c r="E2" s="2005"/>
      <c r="F2" s="2005"/>
      <c r="G2" s="2006"/>
      <c r="H2" s="377"/>
      <c r="I2" s="377"/>
      <c r="J2" s="377"/>
      <c r="K2" s="377"/>
    </row>
    <row r="3" spans="2:11" x14ac:dyDescent="0.3">
      <c r="B3" s="2007" t="s">
        <v>389</v>
      </c>
      <c r="C3" s="2008"/>
      <c r="D3" s="2008"/>
      <c r="E3" s="2008"/>
      <c r="F3" s="2008"/>
      <c r="G3" s="2009"/>
      <c r="H3" s="1569"/>
      <c r="I3" s="1569"/>
      <c r="J3" s="1569"/>
      <c r="K3" s="1569"/>
    </row>
    <row r="4" spans="2:11" x14ac:dyDescent="0.3">
      <c r="B4" s="1570" t="s">
        <v>2312</v>
      </c>
      <c r="G4" s="972"/>
      <c r="H4" s="368"/>
      <c r="I4" s="368"/>
      <c r="J4" s="368"/>
      <c r="K4" s="368"/>
    </row>
    <row r="5" spans="2:11" x14ac:dyDescent="0.3">
      <c r="B5" s="1571" t="s">
        <v>584</v>
      </c>
      <c r="C5" s="1572" t="s">
        <v>641</v>
      </c>
      <c r="D5" s="1572"/>
      <c r="E5" s="1572"/>
      <c r="F5" s="1572"/>
      <c r="G5" s="1573"/>
      <c r="H5" s="368"/>
      <c r="I5" s="368"/>
      <c r="J5" s="368"/>
      <c r="K5" s="422"/>
    </row>
    <row r="6" spans="2:11" x14ac:dyDescent="0.3">
      <c r="B6" s="1574"/>
      <c r="C6" s="2014"/>
      <c r="D6" s="2017" t="s">
        <v>2425</v>
      </c>
      <c r="E6" s="2020"/>
      <c r="F6" s="2017" t="s">
        <v>2370</v>
      </c>
      <c r="G6" s="2018"/>
      <c r="H6" s="2013"/>
      <c r="I6" s="2013"/>
      <c r="J6" s="2013"/>
      <c r="K6" s="2013"/>
    </row>
    <row r="7" spans="2:11" x14ac:dyDescent="0.3">
      <c r="B7" s="1575"/>
      <c r="C7" s="2014"/>
      <c r="D7" s="423" t="s">
        <v>468</v>
      </c>
      <c r="E7" s="424" t="s">
        <v>460</v>
      </c>
      <c r="F7" s="423" t="s">
        <v>468</v>
      </c>
      <c r="G7" s="1576" t="s">
        <v>460</v>
      </c>
      <c r="H7" s="788"/>
      <c r="I7" s="1554"/>
      <c r="J7" s="788"/>
      <c r="K7" s="1554"/>
    </row>
    <row r="8" spans="2:11" x14ac:dyDescent="0.3">
      <c r="B8" s="1575"/>
      <c r="C8" s="425" t="s">
        <v>461</v>
      </c>
      <c r="D8" s="425"/>
      <c r="E8" s="425"/>
      <c r="F8" s="425"/>
      <c r="G8" s="1577"/>
      <c r="H8" s="1555"/>
      <c r="I8" s="1555"/>
      <c r="J8" s="439"/>
      <c r="K8" s="438"/>
    </row>
    <row r="9" spans="2:11" x14ac:dyDescent="0.3">
      <c r="B9" s="1575"/>
      <c r="C9" s="426" t="s">
        <v>462</v>
      </c>
      <c r="D9" s="427">
        <v>3500000</v>
      </c>
      <c r="E9" s="427">
        <f>D9*10</f>
        <v>35000000</v>
      </c>
      <c r="F9" s="427">
        <v>3500000</v>
      </c>
      <c r="G9" s="1578">
        <f>F9*10</f>
        <v>35000000</v>
      </c>
      <c r="H9" s="1553"/>
      <c r="I9" s="1553"/>
      <c r="J9" s="1553"/>
      <c r="K9" s="1553"/>
    </row>
    <row r="10" spans="2:11" x14ac:dyDescent="0.3">
      <c r="B10" s="1575"/>
      <c r="C10" s="425" t="s">
        <v>463</v>
      </c>
      <c r="D10" s="428"/>
      <c r="E10" s="429"/>
      <c r="F10" s="428"/>
      <c r="G10" s="1579"/>
      <c r="H10" s="1553"/>
      <c r="I10" s="1553"/>
      <c r="J10" s="1556"/>
      <c r="K10" s="440"/>
    </row>
    <row r="11" spans="2:11" x14ac:dyDescent="0.3">
      <c r="B11" s="1575"/>
      <c r="C11" s="426" t="s">
        <v>462</v>
      </c>
      <c r="D11" s="428">
        <v>2070900</v>
      </c>
      <c r="E11" s="429">
        <f>D11*10</f>
        <v>20709000</v>
      </c>
      <c r="F11" s="428">
        <v>2070900</v>
      </c>
      <c r="G11" s="1579">
        <f>F11*10</f>
        <v>20709000</v>
      </c>
      <c r="H11" s="1553"/>
      <c r="I11" s="1553"/>
      <c r="J11" s="1553"/>
      <c r="K11" s="1553"/>
    </row>
    <row r="12" spans="2:11" x14ac:dyDescent="0.3">
      <c r="B12" s="1575"/>
      <c r="C12" s="425" t="s">
        <v>464</v>
      </c>
      <c r="D12" s="428"/>
      <c r="E12" s="429"/>
      <c r="F12" s="428"/>
      <c r="G12" s="1579"/>
      <c r="H12" s="1553"/>
      <c r="I12" s="1553"/>
      <c r="J12" s="1556"/>
      <c r="K12" s="440"/>
    </row>
    <row r="13" spans="2:11" x14ac:dyDescent="0.3">
      <c r="B13" s="1575"/>
      <c r="C13" s="783" t="s">
        <v>465</v>
      </c>
      <c r="D13" s="428">
        <v>2070900</v>
      </c>
      <c r="E13" s="429">
        <f>D13*10</f>
        <v>20709000</v>
      </c>
      <c r="F13" s="428">
        <v>2070900</v>
      </c>
      <c r="G13" s="1579">
        <f>F13*10</f>
        <v>20709000</v>
      </c>
      <c r="H13" s="1553"/>
      <c r="I13" s="1553"/>
      <c r="J13" s="1553"/>
      <c r="K13" s="1553"/>
    </row>
    <row r="14" spans="2:11" x14ac:dyDescent="0.3">
      <c r="B14" s="1580"/>
      <c r="C14" s="395" t="s">
        <v>213</v>
      </c>
      <c r="D14" s="430">
        <f t="shared" ref="D14" si="0">SUM(D13:D13)</f>
        <v>2070900</v>
      </c>
      <c r="E14" s="430">
        <f>SUM(E13:E13)</f>
        <v>20709000</v>
      </c>
      <c r="F14" s="430">
        <f t="shared" ref="F14:G14" si="1">SUM(F13:F13)</f>
        <v>2070900</v>
      </c>
      <c r="G14" s="1581">
        <f t="shared" si="1"/>
        <v>20709000</v>
      </c>
      <c r="H14" s="1296"/>
      <c r="I14" s="1296"/>
      <c r="J14" s="1296"/>
      <c r="K14" s="1296"/>
    </row>
    <row r="15" spans="2:11" x14ac:dyDescent="0.3">
      <c r="B15" s="1582"/>
      <c r="C15" s="1295"/>
      <c r="D15" s="1295"/>
      <c r="E15" s="1295"/>
      <c r="F15" s="1295"/>
      <c r="G15" s="1583"/>
      <c r="H15" s="1296"/>
      <c r="I15" s="1296"/>
      <c r="J15" s="1296"/>
      <c r="K15" s="1296"/>
    </row>
    <row r="16" spans="2:11" x14ac:dyDescent="0.3">
      <c r="B16" s="1582"/>
      <c r="C16" s="1584" t="s">
        <v>2153</v>
      </c>
      <c r="D16" s="1584"/>
      <c r="E16" s="1584"/>
      <c r="F16" s="1584"/>
      <c r="G16" s="1585"/>
      <c r="H16" s="368"/>
      <c r="I16" s="368"/>
      <c r="J16" s="368"/>
      <c r="K16" s="368"/>
    </row>
    <row r="17" spans="2:11" x14ac:dyDescent="0.3">
      <c r="B17" s="1582"/>
      <c r="C17" s="1584"/>
      <c r="D17" s="1584"/>
      <c r="E17" s="1584"/>
      <c r="F17" s="1584"/>
      <c r="G17" s="1585"/>
      <c r="H17" s="368"/>
      <c r="I17" s="368"/>
      <c r="J17" s="368"/>
      <c r="K17" s="368"/>
    </row>
    <row r="18" spans="2:11" x14ac:dyDescent="0.3">
      <c r="B18" s="1571" t="s">
        <v>466</v>
      </c>
      <c r="C18" s="1572" t="s">
        <v>467</v>
      </c>
      <c r="D18" s="1572"/>
      <c r="E18" s="1572"/>
      <c r="F18" s="1572"/>
      <c r="G18" s="1573"/>
      <c r="H18" s="431"/>
      <c r="I18" s="432"/>
      <c r="J18" s="432"/>
      <c r="K18" s="433"/>
    </row>
    <row r="19" spans="2:11" x14ac:dyDescent="0.3">
      <c r="B19" s="1586"/>
      <c r="C19" s="2015"/>
      <c r="D19" s="2010" t="str">
        <f>+D6</f>
        <v>As at Mar 31, 2023</v>
      </c>
      <c r="E19" s="2010"/>
      <c r="F19" s="2010" t="s">
        <v>2370</v>
      </c>
      <c r="G19" s="2019"/>
      <c r="H19" s="2013"/>
      <c r="I19" s="2013"/>
      <c r="J19" s="2013"/>
      <c r="K19" s="2013"/>
    </row>
    <row r="20" spans="2:11" x14ac:dyDescent="0.3">
      <c r="B20" s="1587"/>
      <c r="C20" s="2016"/>
      <c r="D20" s="423" t="s">
        <v>468</v>
      </c>
      <c r="E20" s="794" t="s">
        <v>380</v>
      </c>
      <c r="F20" s="423" t="s">
        <v>468</v>
      </c>
      <c r="G20" s="794" t="s">
        <v>380</v>
      </c>
      <c r="H20" s="788"/>
      <c r="I20" s="788"/>
      <c r="J20" s="788"/>
      <c r="K20" s="788"/>
    </row>
    <row r="21" spans="2:11" x14ac:dyDescent="0.3">
      <c r="B21" s="1587"/>
      <c r="C21" s="785" t="s">
        <v>1721</v>
      </c>
      <c r="D21" s="785"/>
      <c r="E21" s="785"/>
      <c r="F21" s="785"/>
      <c r="G21" s="1588"/>
      <c r="H21" s="788"/>
      <c r="I21" s="788"/>
      <c r="J21" s="788"/>
      <c r="K21" s="788"/>
    </row>
    <row r="22" spans="2:11" x14ac:dyDescent="0.3">
      <c r="B22" s="1587"/>
      <c r="C22" s="786" t="s">
        <v>1722</v>
      </c>
      <c r="D22" s="786"/>
      <c r="E22" s="786"/>
      <c r="F22" s="786"/>
      <c r="G22" s="1589"/>
      <c r="H22" s="1557"/>
      <c r="I22" s="788"/>
      <c r="J22" s="788"/>
      <c r="K22" s="788"/>
    </row>
    <row r="23" spans="2:11" x14ac:dyDescent="0.3">
      <c r="B23" s="1587"/>
      <c r="C23" s="791" t="s">
        <v>254</v>
      </c>
      <c r="D23" s="792">
        <f>F11</f>
        <v>2070900</v>
      </c>
      <c r="E23" s="789">
        <f>E13</f>
        <v>20709000</v>
      </c>
      <c r="F23" s="792">
        <f>H11</f>
        <v>0</v>
      </c>
      <c r="G23" s="1590">
        <f>G13</f>
        <v>20709000</v>
      </c>
      <c r="H23" s="789"/>
      <c r="I23" s="789"/>
      <c r="J23" s="1558"/>
      <c r="K23" s="1558"/>
    </row>
    <row r="24" spans="2:11" x14ac:dyDescent="0.3">
      <c r="B24" s="1587"/>
      <c r="C24" s="784" t="s">
        <v>1723</v>
      </c>
      <c r="D24" s="793">
        <v>0</v>
      </c>
      <c r="E24" s="790">
        <v>0</v>
      </c>
      <c r="F24" s="793">
        <v>0</v>
      </c>
      <c r="G24" s="1591">
        <v>0</v>
      </c>
      <c r="H24" s="790"/>
      <c r="I24" s="790"/>
      <c r="J24" s="1558"/>
      <c r="K24" s="1558"/>
    </row>
    <row r="25" spans="2:11" x14ac:dyDescent="0.3">
      <c r="B25" s="1587"/>
      <c r="C25" s="784" t="s">
        <v>1724</v>
      </c>
      <c r="D25" s="793">
        <v>0</v>
      </c>
      <c r="E25" s="790">
        <v>0</v>
      </c>
      <c r="F25" s="793">
        <v>0</v>
      </c>
      <c r="G25" s="1591">
        <v>0</v>
      </c>
      <c r="H25" s="790"/>
      <c r="I25" s="790"/>
      <c r="J25" s="1558"/>
      <c r="K25" s="1558"/>
    </row>
    <row r="26" spans="2:11" x14ac:dyDescent="0.3">
      <c r="B26" s="1592"/>
      <c r="C26" s="795" t="s">
        <v>255</v>
      </c>
      <c r="D26" s="787">
        <f>D23+D24+D25</f>
        <v>2070900</v>
      </c>
      <c r="E26" s="787">
        <f t="shared" ref="E26:G26" si="2">E23+E24+E25</f>
        <v>20709000</v>
      </c>
      <c r="F26" s="787">
        <f>F23+F24+F25</f>
        <v>0</v>
      </c>
      <c r="G26" s="1593">
        <f t="shared" si="2"/>
        <v>20709000</v>
      </c>
      <c r="H26" s="1559"/>
      <c r="I26" s="1559"/>
      <c r="J26" s="1559"/>
      <c r="K26" s="1559"/>
    </row>
    <row r="27" spans="2:11" x14ac:dyDescent="0.3">
      <c r="B27" s="1586" t="s">
        <v>469</v>
      </c>
      <c r="C27" s="434" t="s">
        <v>470</v>
      </c>
      <c r="D27" s="434"/>
      <c r="E27" s="434"/>
      <c r="F27" s="434"/>
      <c r="G27" s="1594"/>
      <c r="H27" s="434"/>
      <c r="I27" s="434"/>
      <c r="J27" s="434"/>
      <c r="K27" s="434"/>
    </row>
    <row r="28" spans="2:11" ht="51.6" customHeight="1" x14ac:dyDescent="0.3">
      <c r="B28" s="1587"/>
      <c r="C28" s="2021" t="s">
        <v>1725</v>
      </c>
      <c r="D28" s="2022"/>
      <c r="E28" s="2022"/>
      <c r="F28" s="2022"/>
      <c r="G28" s="2023"/>
      <c r="H28" s="1552"/>
      <c r="I28" s="1552"/>
      <c r="J28" s="1552"/>
      <c r="K28" s="1552"/>
    </row>
    <row r="29" spans="2:11" x14ac:dyDescent="0.3">
      <c r="B29" s="1587" t="s">
        <v>471</v>
      </c>
      <c r="C29" s="1124" t="s">
        <v>1727</v>
      </c>
      <c r="D29" s="1124"/>
      <c r="E29" s="1124"/>
      <c r="F29" s="1124"/>
      <c r="G29" s="1595"/>
      <c r="H29" s="438"/>
      <c r="I29" s="439"/>
      <c r="J29" s="838"/>
      <c r="K29" s="441"/>
    </row>
    <row r="30" spans="2:11" x14ac:dyDescent="0.3">
      <c r="B30" s="1587" t="s">
        <v>1726</v>
      </c>
      <c r="C30" s="1124" t="s">
        <v>1729</v>
      </c>
      <c r="D30" s="1124"/>
      <c r="E30" s="1124"/>
      <c r="F30" s="1124"/>
      <c r="G30" s="1595"/>
      <c r="H30" s="438"/>
      <c r="I30" s="439"/>
      <c r="J30" s="838"/>
      <c r="K30" s="441"/>
    </row>
    <row r="31" spans="2:11" x14ac:dyDescent="0.3">
      <c r="B31" s="1587" t="s">
        <v>1728</v>
      </c>
      <c r="C31" s="1124" t="s">
        <v>1731</v>
      </c>
      <c r="D31" s="1124"/>
      <c r="E31" s="1124"/>
      <c r="F31" s="1124"/>
      <c r="G31" s="1595"/>
      <c r="H31" s="438"/>
      <c r="I31" s="439"/>
      <c r="J31" s="838"/>
      <c r="K31" s="441"/>
    </row>
    <row r="32" spans="2:11" x14ac:dyDescent="0.3">
      <c r="B32" s="1587" t="s">
        <v>1730</v>
      </c>
      <c r="C32" s="1124" t="s">
        <v>1733</v>
      </c>
      <c r="D32" s="1124"/>
      <c r="E32" s="1124"/>
      <c r="F32" s="1124"/>
      <c r="G32" s="1595"/>
      <c r="H32" s="438"/>
      <c r="I32" s="439"/>
      <c r="J32" s="440"/>
      <c r="K32" s="441"/>
    </row>
    <row r="33" spans="2:12" x14ac:dyDescent="0.3">
      <c r="B33" s="1587" t="s">
        <v>1732</v>
      </c>
      <c r="C33" s="1596" t="s">
        <v>472</v>
      </c>
      <c r="D33" s="1596"/>
      <c r="E33" s="1596"/>
      <c r="F33" s="1596"/>
      <c r="G33" s="1597"/>
      <c r="H33" s="431"/>
      <c r="I33" s="432"/>
      <c r="J33" s="432"/>
      <c r="K33" s="439"/>
    </row>
    <row r="34" spans="2:12" x14ac:dyDescent="0.3">
      <c r="B34" s="1587"/>
      <c r="C34" s="2011" t="s">
        <v>473</v>
      </c>
      <c r="D34" s="2010" t="str">
        <f>D6</f>
        <v>As at Mar 31, 2023</v>
      </c>
      <c r="E34" s="2010"/>
      <c r="F34" s="2010" t="s">
        <v>2370</v>
      </c>
      <c r="G34" s="2019"/>
      <c r="H34" s="2013"/>
      <c r="I34" s="2013"/>
      <c r="J34" s="2013"/>
      <c r="K34" s="2013"/>
    </row>
    <row r="35" spans="2:12" ht="31.2" x14ac:dyDescent="0.3">
      <c r="B35" s="1587"/>
      <c r="C35" s="2012"/>
      <c r="D35" s="435" t="s">
        <v>474</v>
      </c>
      <c r="E35" s="436" t="s">
        <v>475</v>
      </c>
      <c r="F35" s="435" t="s">
        <v>474</v>
      </c>
      <c r="G35" s="436" t="s">
        <v>475</v>
      </c>
      <c r="H35" s="1560"/>
      <c r="I35" s="432"/>
      <c r="J35" s="1560"/>
      <c r="K35" s="432"/>
    </row>
    <row r="36" spans="2:12" x14ac:dyDescent="0.3">
      <c r="B36" s="1587"/>
      <c r="C36" s="1859" t="s">
        <v>2440</v>
      </c>
      <c r="D36" s="1860">
        <v>373117</v>
      </c>
      <c r="E36" s="1861">
        <v>0.1802</v>
      </c>
      <c r="F36" s="1871">
        <v>0</v>
      </c>
      <c r="G36" s="1872">
        <v>0</v>
      </c>
      <c r="H36" s="1561"/>
      <c r="I36" s="1562"/>
      <c r="J36" s="1561"/>
      <c r="K36" s="1562"/>
    </row>
    <row r="37" spans="2:12" x14ac:dyDescent="0.3">
      <c r="B37" s="1587"/>
      <c r="C37" s="1863" t="s">
        <v>2441</v>
      </c>
      <c r="D37" s="1864">
        <v>531017</v>
      </c>
      <c r="E37" s="1861">
        <v>0.25640000000000002</v>
      </c>
      <c r="F37" s="1871">
        <v>0</v>
      </c>
      <c r="G37" s="1872">
        <v>0</v>
      </c>
      <c r="H37" s="1561"/>
      <c r="I37" s="1562"/>
      <c r="J37" s="1561"/>
      <c r="K37" s="1562"/>
    </row>
    <row r="38" spans="2:12" x14ac:dyDescent="0.3">
      <c r="B38" s="1587"/>
      <c r="C38" s="1863" t="s">
        <v>2442</v>
      </c>
      <c r="D38" s="1864">
        <v>110056</v>
      </c>
      <c r="E38" s="1861">
        <v>5.3100000000000001E-2</v>
      </c>
      <c r="F38" s="1871">
        <v>0</v>
      </c>
      <c r="G38" s="1872">
        <v>0</v>
      </c>
      <c r="H38" s="1561"/>
      <c r="I38" s="1562"/>
      <c r="J38" s="1561"/>
      <c r="K38" s="1562"/>
    </row>
    <row r="39" spans="2:12" x14ac:dyDescent="0.3">
      <c r="B39" s="1587"/>
      <c r="C39" s="1863" t="s">
        <v>2154</v>
      </c>
      <c r="D39" s="1871">
        <v>0</v>
      </c>
      <c r="E39" s="1872">
        <v>0</v>
      </c>
      <c r="F39" s="1860">
        <v>125815</v>
      </c>
      <c r="G39" s="1862">
        <v>6.08E-2</v>
      </c>
      <c r="H39" s="1561"/>
      <c r="I39" s="1562"/>
      <c r="J39" s="1561"/>
      <c r="K39" s="1562"/>
    </row>
    <row r="40" spans="2:12" x14ac:dyDescent="0.3">
      <c r="B40" s="1587"/>
      <c r="C40" s="1863" t="s">
        <v>2155</v>
      </c>
      <c r="D40" s="1871">
        <v>0</v>
      </c>
      <c r="E40" s="1872">
        <v>0</v>
      </c>
      <c r="F40" s="1864">
        <v>145984</v>
      </c>
      <c r="G40" s="1862">
        <v>7.0499999999999993E-2</v>
      </c>
      <c r="H40" s="1561"/>
      <c r="I40" s="1562"/>
      <c r="J40" s="1561"/>
      <c r="K40" s="1562"/>
    </row>
    <row r="41" spans="2:12" x14ac:dyDescent="0.3">
      <c r="B41" s="1587"/>
      <c r="C41" s="1863" t="s">
        <v>2156</v>
      </c>
      <c r="D41" s="1871">
        <v>0</v>
      </c>
      <c r="E41" s="1872">
        <v>0</v>
      </c>
      <c r="F41" s="1864">
        <v>205954</v>
      </c>
      <c r="G41" s="1862">
        <v>9.9500000000000005E-2</v>
      </c>
      <c r="H41" s="1561"/>
      <c r="I41" s="1562"/>
      <c r="J41" s="1561"/>
      <c r="K41" s="1562"/>
    </row>
    <row r="42" spans="2:12" x14ac:dyDescent="0.3">
      <c r="B42" s="1587"/>
      <c r="C42" s="1863" t="s">
        <v>2157</v>
      </c>
      <c r="D42" s="1871">
        <v>0</v>
      </c>
      <c r="E42" s="1872">
        <v>0</v>
      </c>
      <c r="F42" s="766">
        <v>104076</v>
      </c>
      <c r="G42" s="1434">
        <v>5.0299999999999997E-2</v>
      </c>
      <c r="H42" s="1561"/>
      <c r="I42" s="1562"/>
      <c r="J42" s="1561"/>
      <c r="K42" s="1562"/>
    </row>
    <row r="43" spans="2:12" x14ac:dyDescent="0.3">
      <c r="B43" s="1587"/>
      <c r="C43" s="1123"/>
      <c r="D43" s="1123"/>
      <c r="E43" s="1123"/>
      <c r="F43" s="1123"/>
      <c r="G43" s="1598"/>
      <c r="H43" s="1563"/>
      <c r="I43" s="1564"/>
      <c r="J43" s="1563"/>
      <c r="K43" s="1564"/>
      <c r="L43" s="437"/>
    </row>
    <row r="44" spans="2:12" x14ac:dyDescent="0.3">
      <c r="B44" s="1587"/>
      <c r="C44" s="1599" t="s">
        <v>476</v>
      </c>
      <c r="D44" s="1599"/>
      <c r="E44" s="1599"/>
      <c r="F44" s="1599"/>
      <c r="G44" s="1600"/>
      <c r="H44" s="438"/>
      <c r="I44" s="439"/>
      <c r="J44" s="440"/>
      <c r="K44" s="441"/>
    </row>
    <row r="45" spans="2:12" x14ac:dyDescent="0.3">
      <c r="B45" s="1587"/>
      <c r="C45" s="1599"/>
      <c r="D45" s="1599"/>
      <c r="E45" s="1599"/>
      <c r="F45" s="1599"/>
      <c r="G45" s="1600"/>
      <c r="H45" s="438"/>
      <c r="I45" s="439"/>
      <c r="J45" s="440"/>
      <c r="K45" s="441"/>
    </row>
    <row r="46" spans="2:12" x14ac:dyDescent="0.3">
      <c r="B46" s="1587" t="s">
        <v>1734</v>
      </c>
      <c r="C46" s="1124" t="s">
        <v>1738</v>
      </c>
      <c r="D46" s="1124"/>
      <c r="E46" s="1124"/>
      <c r="F46" s="1124"/>
      <c r="G46" s="1595"/>
      <c r="H46" s="438"/>
      <c r="J46" s="440"/>
      <c r="K46" s="439"/>
    </row>
    <row r="47" spans="2:12" ht="31.2" x14ac:dyDescent="0.3">
      <c r="B47" s="1587"/>
      <c r="C47" s="799" t="s">
        <v>1539</v>
      </c>
      <c r="D47" s="1441"/>
      <c r="E47" s="1441"/>
      <c r="F47" s="1546" t="s">
        <v>2425</v>
      </c>
      <c r="G47" s="1601" t="s">
        <v>2370</v>
      </c>
      <c r="I47" s="1565"/>
      <c r="J47" s="1565"/>
      <c r="K47" s="1565"/>
    </row>
    <row r="48" spans="2:12" ht="31.2" x14ac:dyDescent="0.3">
      <c r="B48" s="1587"/>
      <c r="C48" s="1125" t="s">
        <v>2436</v>
      </c>
      <c r="D48" s="1125"/>
      <c r="E48" s="1125"/>
      <c r="F48" s="798">
        <v>0</v>
      </c>
      <c r="G48" s="1602">
        <v>0</v>
      </c>
      <c r="I48" s="1565"/>
      <c r="J48" s="1565"/>
      <c r="K48" s="1565"/>
    </row>
    <row r="49" spans="2:11" x14ac:dyDescent="0.3">
      <c r="B49" s="1587"/>
      <c r="C49" s="1124" t="s">
        <v>1735</v>
      </c>
      <c r="D49" s="1124"/>
      <c r="E49" s="1124"/>
      <c r="F49" s="443">
        <v>0</v>
      </c>
      <c r="G49" s="1603">
        <v>0</v>
      </c>
      <c r="I49" s="1565"/>
      <c r="J49" s="1565"/>
      <c r="K49" s="1565"/>
    </row>
    <row r="50" spans="2:11" ht="31.2" x14ac:dyDescent="0.3">
      <c r="B50" s="1587"/>
      <c r="C50" s="1125" t="s">
        <v>2435</v>
      </c>
      <c r="D50" s="1125"/>
      <c r="E50" s="1125"/>
      <c r="F50" s="443">
        <v>0</v>
      </c>
      <c r="G50" s="1603">
        <v>0</v>
      </c>
      <c r="I50" s="438"/>
      <c r="J50" s="438"/>
      <c r="K50" s="439"/>
    </row>
    <row r="51" spans="2:11" s="377" customFormat="1" ht="16.2" thickBot="1" x14ac:dyDescent="0.35">
      <c r="B51" s="1587"/>
      <c r="C51" s="799" t="s">
        <v>213</v>
      </c>
      <c r="D51" s="1441"/>
      <c r="E51" s="1441"/>
      <c r="F51" s="800"/>
      <c r="G51" s="1604"/>
      <c r="I51" s="1566"/>
      <c r="J51" s="1566"/>
      <c r="K51" s="1566"/>
    </row>
    <row r="52" spans="2:11" ht="16.2" thickTop="1" x14ac:dyDescent="0.3">
      <c r="B52" s="1587"/>
      <c r="C52" s="796" t="s">
        <v>1736</v>
      </c>
      <c r="D52" s="1442"/>
      <c r="E52" s="1442"/>
      <c r="F52" s="802"/>
      <c r="G52" s="1605"/>
      <c r="I52" s="438"/>
      <c r="J52" s="438"/>
      <c r="K52" s="439"/>
    </row>
    <row r="53" spans="2:11" ht="31.2" x14ac:dyDescent="0.3">
      <c r="B53" s="1587"/>
      <c r="C53" s="801" t="s">
        <v>2437</v>
      </c>
      <c r="D53" s="1125"/>
      <c r="E53" s="1125"/>
      <c r="F53" s="443">
        <v>0</v>
      </c>
      <c r="G53" s="1603">
        <v>0</v>
      </c>
      <c r="I53" s="438"/>
      <c r="J53" s="438"/>
      <c r="K53" s="439"/>
    </row>
    <row r="54" spans="2:11" x14ac:dyDescent="0.3">
      <c r="B54" s="1587"/>
      <c r="C54" s="797" t="s">
        <v>1737</v>
      </c>
      <c r="D54" s="1124"/>
      <c r="E54" s="1124"/>
      <c r="F54" s="443">
        <v>0</v>
      </c>
      <c r="G54" s="1603">
        <v>0</v>
      </c>
      <c r="I54" s="438"/>
      <c r="J54" s="438"/>
      <c r="K54" s="439"/>
    </row>
    <row r="55" spans="2:11" s="377" customFormat="1" ht="16.2" thickBot="1" x14ac:dyDescent="0.35">
      <c r="B55" s="1592"/>
      <c r="C55" s="803" t="s">
        <v>213</v>
      </c>
      <c r="D55" s="1443"/>
      <c r="E55" s="1443"/>
      <c r="F55" s="804">
        <v>0</v>
      </c>
      <c r="G55" s="1606">
        <v>0</v>
      </c>
      <c r="I55" s="1567"/>
      <c r="J55" s="1567"/>
      <c r="K55" s="1567"/>
    </row>
    <row r="56" spans="2:11" ht="16.2" thickTop="1" x14ac:dyDescent="0.3">
      <c r="B56" s="1571"/>
      <c r="C56" s="1599"/>
      <c r="D56" s="1599"/>
      <c r="E56" s="1599"/>
      <c r="F56" s="439"/>
      <c r="G56" s="1607"/>
      <c r="H56" s="438"/>
      <c r="I56" s="439"/>
      <c r="J56" s="440"/>
      <c r="K56" s="441"/>
    </row>
    <row r="57" spans="2:11" x14ac:dyDescent="0.3">
      <c r="B57" s="1570" t="s">
        <v>2313</v>
      </c>
      <c r="F57" s="439"/>
      <c r="G57" s="1607"/>
      <c r="H57" s="438"/>
      <c r="I57" s="439"/>
      <c r="J57" s="440"/>
      <c r="K57" s="441"/>
    </row>
    <row r="58" spans="2:11" ht="31.2" x14ac:dyDescent="0.3">
      <c r="B58" s="1586"/>
      <c r="C58" s="442"/>
      <c r="D58" s="1444"/>
      <c r="E58" s="1444"/>
      <c r="F58" s="1546" t="str">
        <f>F47</f>
        <v>As at Mar 31, 2023</v>
      </c>
      <c r="G58" s="1601" t="s">
        <v>2370</v>
      </c>
      <c r="H58" s="444"/>
      <c r="I58" s="1565"/>
      <c r="J58" s="1565"/>
      <c r="K58" s="1565"/>
    </row>
    <row r="59" spans="2:11" x14ac:dyDescent="0.3">
      <c r="B59" s="1587"/>
      <c r="C59" s="835" t="s">
        <v>1743</v>
      </c>
      <c r="D59" s="1445"/>
      <c r="E59" s="1445"/>
      <c r="F59" s="831"/>
      <c r="G59" s="1608"/>
      <c r="H59" s="444"/>
      <c r="I59" s="1568"/>
      <c r="J59" s="1568"/>
      <c r="K59" s="1568"/>
    </row>
    <row r="60" spans="2:11" x14ac:dyDescent="0.3">
      <c r="B60" s="1587"/>
      <c r="C60" s="829" t="s">
        <v>1744</v>
      </c>
      <c r="D60" s="1446"/>
      <c r="E60" s="1446"/>
      <c r="F60" s="832">
        <v>2333750</v>
      </c>
      <c r="G60" s="1609">
        <v>2333750</v>
      </c>
      <c r="H60" s="444"/>
      <c r="I60" s="826"/>
      <c r="J60" s="826"/>
      <c r="K60" s="826"/>
    </row>
    <row r="61" spans="2:11" x14ac:dyDescent="0.3">
      <c r="B61" s="1587"/>
      <c r="C61" s="829" t="s">
        <v>1740</v>
      </c>
      <c r="D61" s="1446"/>
      <c r="E61" s="1446"/>
      <c r="F61" s="831">
        <v>0</v>
      </c>
      <c r="G61" s="1608">
        <v>0</v>
      </c>
      <c r="H61" s="444"/>
      <c r="I61" s="1568"/>
      <c r="J61" s="1568"/>
      <c r="K61" s="1568"/>
    </row>
    <row r="62" spans="2:11" ht="16.2" thickBot="1" x14ac:dyDescent="0.35">
      <c r="B62" s="1587"/>
      <c r="C62" s="836" t="s">
        <v>478</v>
      </c>
      <c r="D62" s="1447"/>
      <c r="E62" s="1447"/>
      <c r="F62" s="834">
        <f>F60+F61</f>
        <v>2333750</v>
      </c>
      <c r="G62" s="1610">
        <v>2333750</v>
      </c>
      <c r="H62" s="444"/>
      <c r="I62" s="1568"/>
      <c r="J62" s="1568"/>
      <c r="K62" s="1568"/>
    </row>
    <row r="63" spans="2:11" ht="16.2" thickTop="1" x14ac:dyDescent="0.3">
      <c r="B63" s="1587"/>
      <c r="C63" s="835" t="s">
        <v>1742</v>
      </c>
      <c r="D63" s="1445"/>
      <c r="E63" s="1445"/>
      <c r="F63" s="831"/>
      <c r="G63" s="1608"/>
      <c r="H63" s="444"/>
      <c r="I63" s="1568"/>
      <c r="J63" s="1568"/>
      <c r="K63" s="1568"/>
    </row>
    <row r="64" spans="2:11" x14ac:dyDescent="0.3">
      <c r="B64" s="1587"/>
      <c r="C64" s="829" t="s">
        <v>1744</v>
      </c>
      <c r="D64" s="1446"/>
      <c r="E64" s="1446"/>
      <c r="F64" s="831">
        <v>0</v>
      </c>
      <c r="G64" s="1608">
        <v>0</v>
      </c>
      <c r="H64" s="444"/>
      <c r="I64" s="1568"/>
      <c r="J64" s="1568"/>
      <c r="K64" s="1568"/>
    </row>
    <row r="65" spans="2:13" x14ac:dyDescent="0.3">
      <c r="B65" s="1587"/>
      <c r="C65" s="829" t="s">
        <v>1741</v>
      </c>
      <c r="D65" s="1446"/>
      <c r="E65" s="1446"/>
      <c r="F65" s="831">
        <v>0</v>
      </c>
      <c r="G65" s="1608">
        <v>0</v>
      </c>
      <c r="H65" s="444"/>
      <c r="I65" s="1568"/>
      <c r="J65" s="1568">
        <f>J68-G70</f>
        <v>-535998.75999999791</v>
      </c>
      <c r="K65" s="1568"/>
    </row>
    <row r="66" spans="2:13" s="377" customFormat="1" ht="16.2" thickBot="1" x14ac:dyDescent="0.35">
      <c r="B66" s="1587"/>
      <c r="C66" s="836" t="s">
        <v>478</v>
      </c>
      <c r="D66" s="1447"/>
      <c r="E66" s="1447"/>
      <c r="F66" s="834">
        <f>F64+F65</f>
        <v>0</v>
      </c>
      <c r="G66" s="1610">
        <v>0</v>
      </c>
      <c r="H66" s="830"/>
      <c r="I66" s="1568"/>
      <c r="J66" s="1568"/>
      <c r="K66" s="1568"/>
    </row>
    <row r="67" spans="2:13" ht="16.2" thickTop="1" x14ac:dyDescent="0.3">
      <c r="B67" s="1587"/>
      <c r="C67" s="835" t="s">
        <v>477</v>
      </c>
      <c r="D67" s="1445"/>
      <c r="E67" s="1445"/>
      <c r="F67" s="831"/>
      <c r="G67" s="1608"/>
      <c r="H67" s="444"/>
      <c r="I67" s="1568"/>
      <c r="J67" s="1568"/>
      <c r="K67" s="1568"/>
    </row>
    <row r="68" spans="2:13" x14ac:dyDescent="0.3">
      <c r="B68" s="1587"/>
      <c r="C68" s="829" t="s">
        <v>1744</v>
      </c>
      <c r="D68" s="1446"/>
      <c r="E68" s="1446"/>
      <c r="F68" s="832">
        <f>G71</f>
        <v>-3056226.2400000021</v>
      </c>
      <c r="G68" s="1609">
        <v>-3618791</v>
      </c>
      <c r="H68" s="444">
        <v>-3592225</v>
      </c>
      <c r="I68" s="826"/>
      <c r="J68" s="826">
        <f>H68-F68</f>
        <v>-535998.75999999791</v>
      </c>
      <c r="K68" s="805"/>
    </row>
    <row r="69" spans="2:13" x14ac:dyDescent="0.3">
      <c r="B69" s="1587"/>
      <c r="C69" s="829" t="s">
        <v>1740</v>
      </c>
      <c r="D69" s="1446"/>
      <c r="E69" s="1446"/>
      <c r="F69" s="832">
        <f>'BS PL CFL'!E119</f>
        <v>1168332.9600000009</v>
      </c>
      <c r="G69" s="1609">
        <v>562564.75999999791</v>
      </c>
      <c r="H69" s="444"/>
      <c r="I69" s="826"/>
      <c r="J69" s="826"/>
      <c r="K69" s="805"/>
    </row>
    <row r="70" spans="2:13" x14ac:dyDescent="0.3">
      <c r="B70" s="1587"/>
      <c r="C70" s="829" t="s">
        <v>2297</v>
      </c>
      <c r="D70" s="1446"/>
      <c r="E70" s="1446"/>
      <c r="F70" s="832">
        <v>0</v>
      </c>
      <c r="G70" s="1609">
        <v>0</v>
      </c>
      <c r="H70" s="1805"/>
      <c r="I70" s="826"/>
      <c r="J70" s="826"/>
      <c r="K70" s="805">
        <f>J72-J68</f>
        <v>-25818</v>
      </c>
      <c r="L70" s="301"/>
      <c r="M70" s="301">
        <f>L74-J68</f>
        <v>563312.75999999791</v>
      </c>
    </row>
    <row r="71" spans="2:13" s="377" customFormat="1" ht="16.2" thickBot="1" x14ac:dyDescent="0.35">
      <c r="B71" s="1587"/>
      <c r="C71" s="837" t="s">
        <v>478</v>
      </c>
      <c r="D71" s="1447"/>
      <c r="E71" s="1447"/>
      <c r="F71" s="834">
        <f>F68+F69-F70</f>
        <v>-1887893.2800000012</v>
      </c>
      <c r="G71" s="1610">
        <v>-3056226.2400000021</v>
      </c>
      <c r="H71" s="830"/>
      <c r="I71" s="1568"/>
      <c r="J71" s="1568"/>
      <c r="K71" s="1568"/>
    </row>
    <row r="72" spans="2:13" ht="16.8" thickTop="1" thickBot="1" x14ac:dyDescent="0.35">
      <c r="B72" s="1580"/>
      <c r="C72" s="445" t="s">
        <v>1748</v>
      </c>
      <c r="D72" s="1448"/>
      <c r="E72" s="1448"/>
      <c r="F72" s="1807">
        <f>F62+F66+F71</f>
        <v>445856.71999999881</v>
      </c>
      <c r="G72" s="1611">
        <v>-695910.24000000209</v>
      </c>
      <c r="H72" s="830"/>
      <c r="I72" s="840">
        <v>-1257727</v>
      </c>
      <c r="J72" s="840">
        <f>I72-G72</f>
        <v>-561816.75999999791</v>
      </c>
      <c r="K72" s="840"/>
      <c r="L72" s="301"/>
      <c r="M72" s="437"/>
    </row>
    <row r="73" spans="2:13" ht="16.2" thickTop="1" x14ac:dyDescent="0.3">
      <c r="B73" s="1582"/>
      <c r="C73" s="839"/>
      <c r="D73" s="839"/>
      <c r="E73" s="839"/>
      <c r="F73" s="529"/>
      <c r="G73" s="1612"/>
      <c r="H73" s="830"/>
      <c r="I73" s="529"/>
      <c r="J73" s="840"/>
      <c r="K73" s="840"/>
      <c r="L73" s="301"/>
      <c r="M73" s="437"/>
    </row>
    <row r="74" spans="2:13" x14ac:dyDescent="0.3">
      <c r="B74" s="1613" t="s">
        <v>2093</v>
      </c>
      <c r="F74" s="529"/>
      <c r="G74" s="1612"/>
      <c r="H74" s="830"/>
      <c r="I74" s="529"/>
      <c r="J74" s="840"/>
      <c r="K74" s="840"/>
      <c r="L74" s="301">
        <f>K75+I72</f>
        <v>27314</v>
      </c>
      <c r="M74" s="437"/>
    </row>
    <row r="75" spans="2:13" ht="31.2" x14ac:dyDescent="0.3">
      <c r="B75" s="1574"/>
      <c r="C75" s="442"/>
      <c r="D75" s="1444"/>
      <c r="E75" s="1444"/>
      <c r="F75" s="1546" t="str">
        <f>F58</f>
        <v>As at Mar 31, 2023</v>
      </c>
      <c r="G75" s="1601" t="s">
        <v>2370</v>
      </c>
      <c r="H75" s="444"/>
      <c r="I75" s="1565"/>
      <c r="J75" s="1565"/>
      <c r="K75" s="1565">
        <v>1285041</v>
      </c>
      <c r="L75" s="301"/>
      <c r="M75" s="437"/>
    </row>
    <row r="76" spans="2:13" x14ac:dyDescent="0.3">
      <c r="B76" s="1575"/>
      <c r="C76" s="843" t="s">
        <v>1745</v>
      </c>
      <c r="D76" s="1449"/>
      <c r="E76" s="1449"/>
      <c r="F76" s="841"/>
      <c r="G76" s="1614"/>
      <c r="H76" s="830"/>
      <c r="I76" s="840"/>
      <c r="J76" s="840"/>
      <c r="K76" s="840"/>
      <c r="L76" s="301"/>
      <c r="M76" s="437"/>
    </row>
    <row r="77" spans="2:13" x14ac:dyDescent="0.3">
      <c r="B77" s="1575"/>
      <c r="C77" s="323" t="s">
        <v>1746</v>
      </c>
      <c r="D77" s="337"/>
      <c r="E77" s="337"/>
      <c r="F77" s="841"/>
      <c r="G77" s="1614"/>
      <c r="H77" s="830"/>
      <c r="I77" s="840"/>
      <c r="J77" s="840"/>
      <c r="K77" s="840"/>
      <c r="L77" s="301"/>
      <c r="M77" s="437"/>
    </row>
    <row r="78" spans="2:13" x14ac:dyDescent="0.3">
      <c r="B78" s="1575"/>
      <c r="C78" s="323" t="s">
        <v>1747</v>
      </c>
      <c r="D78" s="337"/>
      <c r="E78" s="337"/>
      <c r="F78" s="842"/>
      <c r="G78" s="1615"/>
      <c r="H78" s="830"/>
      <c r="I78" s="840"/>
      <c r="J78" s="840"/>
      <c r="K78" s="840"/>
      <c r="L78" s="301"/>
      <c r="M78" s="437"/>
    </row>
    <row r="79" spans="2:13" ht="16.2" thickBot="1" x14ac:dyDescent="0.35">
      <c r="B79" s="1575"/>
      <c r="C79" s="836" t="s">
        <v>478</v>
      </c>
      <c r="D79" s="1447"/>
      <c r="E79" s="1447"/>
      <c r="F79" s="845"/>
      <c r="G79" s="1616"/>
      <c r="H79" s="830"/>
      <c r="I79" s="840"/>
      <c r="J79" s="840"/>
      <c r="K79" s="840"/>
      <c r="L79" s="301"/>
      <c r="M79" s="437"/>
    </row>
    <row r="80" spans="2:13" ht="16.2" thickTop="1" x14ac:dyDescent="0.3">
      <c r="B80" s="1575"/>
      <c r="C80" s="844"/>
      <c r="D80" s="1450"/>
      <c r="E80" s="1450"/>
      <c r="F80" s="841"/>
      <c r="G80" s="1614"/>
      <c r="H80" s="830"/>
      <c r="I80" s="840"/>
      <c r="J80" s="840"/>
      <c r="K80" s="840"/>
      <c r="L80" s="301"/>
      <c r="M80" s="437"/>
    </row>
    <row r="81" spans="2:14" x14ac:dyDescent="0.3">
      <c r="B81" s="1575"/>
      <c r="C81" s="843" t="s">
        <v>1749</v>
      </c>
      <c r="D81" s="1449"/>
      <c r="E81" s="1449"/>
      <c r="F81" s="841"/>
      <c r="G81" s="1614"/>
      <c r="H81" s="830"/>
      <c r="I81" s="840"/>
      <c r="J81" s="840"/>
      <c r="K81" s="840"/>
      <c r="L81" s="301"/>
      <c r="M81" s="437"/>
    </row>
    <row r="82" spans="2:14" x14ac:dyDescent="0.3">
      <c r="B82" s="1575"/>
      <c r="C82" s="323" t="s">
        <v>1746</v>
      </c>
      <c r="D82" s="337"/>
      <c r="E82" s="337"/>
      <c r="F82" s="841"/>
      <c r="G82" s="1614"/>
      <c r="H82" s="830"/>
      <c r="I82" s="840"/>
      <c r="J82" s="840"/>
      <c r="K82" s="840"/>
      <c r="L82" s="301"/>
      <c r="M82" s="437"/>
    </row>
    <row r="83" spans="2:14" x14ac:dyDescent="0.3">
      <c r="B83" s="1575"/>
      <c r="C83" s="323" t="s">
        <v>1747</v>
      </c>
      <c r="D83" s="337"/>
      <c r="E83" s="337"/>
      <c r="F83" s="842"/>
      <c r="G83" s="1615"/>
      <c r="H83" s="830"/>
      <c r="I83" s="840"/>
      <c r="J83" s="840"/>
      <c r="K83" s="840"/>
      <c r="L83" s="301"/>
      <c r="M83" s="437"/>
    </row>
    <row r="84" spans="2:14" ht="16.2" thickBot="1" x14ac:dyDescent="0.35">
      <c r="B84" s="1575"/>
      <c r="C84" s="836" t="s">
        <v>478</v>
      </c>
      <c r="D84" s="1447"/>
      <c r="E84" s="1447"/>
      <c r="F84" s="845"/>
      <c r="G84" s="1616"/>
      <c r="H84" s="830"/>
      <c r="I84" s="840"/>
      <c r="J84" s="840"/>
      <c r="K84" s="840"/>
      <c r="L84" s="301"/>
      <c r="M84" s="437"/>
    </row>
    <row r="85" spans="2:14" ht="16.2" thickTop="1" x14ac:dyDescent="0.3">
      <c r="B85" s="1575"/>
      <c r="C85" s="844"/>
      <c r="D85" s="1450"/>
      <c r="E85" s="1450"/>
      <c r="F85" s="841"/>
      <c r="G85" s="1614"/>
      <c r="H85" s="830"/>
      <c r="I85" s="840"/>
      <c r="J85" s="840"/>
      <c r="K85" s="840"/>
      <c r="L85" s="301"/>
      <c r="M85" s="437"/>
    </row>
    <row r="86" spans="2:14" x14ac:dyDescent="0.3">
      <c r="B86" s="1575"/>
      <c r="C86" s="843" t="s">
        <v>1750</v>
      </c>
      <c r="D86" s="1449"/>
      <c r="E86" s="1449"/>
      <c r="F86" s="841"/>
      <c r="G86" s="1614"/>
      <c r="H86" s="830"/>
      <c r="I86" s="840"/>
      <c r="J86" s="840"/>
      <c r="K86" s="840"/>
      <c r="L86" s="301"/>
      <c r="M86" s="437"/>
    </row>
    <row r="87" spans="2:14" x14ac:dyDescent="0.3">
      <c r="B87" s="1575"/>
      <c r="C87" s="323" t="s">
        <v>1746</v>
      </c>
      <c r="D87" s="337"/>
      <c r="E87" s="337"/>
      <c r="F87" s="841"/>
      <c r="G87" s="1614"/>
      <c r="H87" s="830"/>
      <c r="I87" s="840"/>
      <c r="J87" s="840"/>
      <c r="K87" s="840"/>
      <c r="L87" s="301"/>
      <c r="M87" s="437"/>
    </row>
    <row r="88" spans="2:14" x14ac:dyDescent="0.3">
      <c r="B88" s="1575"/>
      <c r="C88" s="323" t="s">
        <v>1747</v>
      </c>
      <c r="D88" s="337"/>
      <c r="E88" s="337"/>
      <c r="F88" s="842"/>
      <c r="G88" s="1615"/>
      <c r="H88" s="830"/>
      <c r="I88" s="840"/>
      <c r="J88" s="840"/>
      <c r="K88" s="840"/>
      <c r="L88" s="301"/>
      <c r="M88" s="437"/>
    </row>
    <row r="89" spans="2:14" ht="16.2" thickBot="1" x14ac:dyDescent="0.35">
      <c r="B89" s="1575"/>
      <c r="C89" s="836" t="s">
        <v>478</v>
      </c>
      <c r="D89" s="1447"/>
      <c r="E89" s="1447"/>
      <c r="F89" s="846"/>
      <c r="G89" s="1617"/>
      <c r="H89" s="830"/>
      <c r="I89" s="840"/>
      <c r="J89" s="840"/>
      <c r="K89" s="840"/>
      <c r="L89" s="301"/>
      <c r="M89" s="437"/>
    </row>
    <row r="90" spans="2:14" ht="16.8" thickTop="1" thickBot="1" x14ac:dyDescent="0.35">
      <c r="B90" s="1580"/>
      <c r="C90" s="848" t="s">
        <v>1751</v>
      </c>
      <c r="D90" s="1451"/>
      <c r="E90" s="1451"/>
      <c r="F90" s="847"/>
      <c r="G90" s="1611"/>
      <c r="H90" s="830"/>
      <c r="I90" s="840"/>
      <c r="J90" s="840"/>
      <c r="K90" s="840"/>
      <c r="L90" s="301"/>
      <c r="M90" s="437"/>
    </row>
    <row r="91" spans="2:14" ht="16.8" thickTop="1" thickBot="1" x14ac:dyDescent="0.35">
      <c r="B91" s="1618"/>
      <c r="C91" s="1619"/>
      <c r="D91" s="1619"/>
      <c r="E91" s="1619"/>
      <c r="F91" s="1619"/>
      <c r="G91" s="1620"/>
    </row>
    <row r="92" spans="2:14" x14ac:dyDescent="0.3">
      <c r="L92" s="826"/>
      <c r="M92" s="297" t="s">
        <v>211</v>
      </c>
      <c r="N92" s="297" t="s">
        <v>211</v>
      </c>
    </row>
    <row r="99" spans="10:10" x14ac:dyDescent="0.3">
      <c r="J99" s="297" t="s">
        <v>211</v>
      </c>
    </row>
    <row r="100" spans="10:10" x14ac:dyDescent="0.3">
      <c r="J100" s="297" t="s">
        <v>211</v>
      </c>
    </row>
    <row r="102" spans="10:10" x14ac:dyDescent="0.3">
      <c r="J102" s="297">
        <f>SUM(J99:J101)</f>
        <v>0</v>
      </c>
    </row>
  </sheetData>
  <mergeCells count="18">
    <mergeCell ref="H34:I34"/>
    <mergeCell ref="J34:K34"/>
    <mergeCell ref="C6:C7"/>
    <mergeCell ref="H6:I6"/>
    <mergeCell ref="J6:K6"/>
    <mergeCell ref="C19:C20"/>
    <mergeCell ref="H19:I19"/>
    <mergeCell ref="J19:K19"/>
    <mergeCell ref="F6:G6"/>
    <mergeCell ref="F19:G19"/>
    <mergeCell ref="F34:G34"/>
    <mergeCell ref="D6:E6"/>
    <mergeCell ref="C28:G28"/>
    <mergeCell ref="B2:G2"/>
    <mergeCell ref="B3:G3"/>
    <mergeCell ref="D19:E19"/>
    <mergeCell ref="D34:E34"/>
    <mergeCell ref="C34:C35"/>
  </mergeCells>
  <printOptions horizontalCentered="1" verticalCentered="1"/>
  <pageMargins left="0.7" right="0.7" top="0.75" bottom="0.75" header="0.3" footer="0.3"/>
  <pageSetup paperSize="9" scale="46" orientation="portrait" r:id="rId1"/>
  <rowBreaks count="1" manualBreakCount="1">
    <brk id="72" min="1"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I14"/>
  <sheetViews>
    <sheetView workbookViewId="0">
      <selection activeCell="F5" sqref="F5"/>
    </sheetView>
  </sheetViews>
  <sheetFormatPr defaultRowHeight="14.4" x14ac:dyDescent="0.3"/>
  <cols>
    <col min="2" max="2" width="23.33203125" customWidth="1"/>
    <col min="3" max="3" width="9.33203125" bestFit="1" customWidth="1"/>
    <col min="8" max="8" width="16.6640625" customWidth="1"/>
    <col min="9" max="9" width="10.6640625" bestFit="1" customWidth="1"/>
  </cols>
  <sheetData>
    <row r="6" spans="2:9" x14ac:dyDescent="0.3">
      <c r="B6" t="s">
        <v>2171</v>
      </c>
      <c r="C6" s="1436" t="e">
        <f>I6/I7</f>
        <v>#DIV/0!</v>
      </c>
      <c r="H6" t="s">
        <v>2178</v>
      </c>
      <c r="I6">
        <f>'BS PL CFL'!G90</f>
        <v>0</v>
      </c>
    </row>
    <row r="7" spans="2:9" x14ac:dyDescent="0.3">
      <c r="B7" t="s">
        <v>2172</v>
      </c>
      <c r="C7" s="1436" t="e">
        <f>I6/I8</f>
        <v>#DIV/0!</v>
      </c>
      <c r="H7" t="s">
        <v>1580</v>
      </c>
      <c r="I7">
        <f>'BS PL CFL'!G30</f>
        <v>0</v>
      </c>
    </row>
    <row r="8" spans="2:9" x14ac:dyDescent="0.3">
      <c r="B8" t="s">
        <v>2173</v>
      </c>
      <c r="C8" s="1436" t="s">
        <v>2182</v>
      </c>
      <c r="H8" t="s">
        <v>2179</v>
      </c>
      <c r="I8">
        <f>'BS PL CFL'!G27</f>
        <v>0</v>
      </c>
    </row>
    <row r="9" spans="2:9" x14ac:dyDescent="0.3">
      <c r="B9" t="s">
        <v>2174</v>
      </c>
      <c r="C9" s="1436" t="e">
        <f>I11/I12</f>
        <v>#DIV/0!</v>
      </c>
      <c r="H9" t="s">
        <v>2180</v>
      </c>
      <c r="I9">
        <f>'BS PL CFL'!G109-'BS PL CFL'!G102</f>
        <v>0</v>
      </c>
    </row>
    <row r="10" spans="2:9" x14ac:dyDescent="0.3">
      <c r="B10" t="s">
        <v>2175</v>
      </c>
      <c r="C10" s="1436" t="s">
        <v>2182</v>
      </c>
      <c r="H10" t="s">
        <v>2181</v>
      </c>
      <c r="I10">
        <v>0</v>
      </c>
    </row>
    <row r="11" spans="2:9" x14ac:dyDescent="0.3">
      <c r="B11" t="s">
        <v>2176</v>
      </c>
      <c r="C11" s="1436" t="e">
        <f>I9/I6</f>
        <v>#DIV/0!</v>
      </c>
      <c r="H11" t="s">
        <v>2183</v>
      </c>
      <c r="I11">
        <f>'BS PL CFL'!G35</f>
        <v>0</v>
      </c>
    </row>
    <row r="12" spans="2:9" x14ac:dyDescent="0.3">
      <c r="B12" t="s">
        <v>2177</v>
      </c>
      <c r="C12" s="1436" t="e">
        <f>I14/I6</f>
        <v>#DIV/0!</v>
      </c>
      <c r="H12" t="s">
        <v>2184</v>
      </c>
      <c r="I12">
        <f>'BS PL CFL'!G64</f>
        <v>0</v>
      </c>
    </row>
    <row r="13" spans="2:9" x14ac:dyDescent="0.3">
      <c r="H13" t="s">
        <v>2185</v>
      </c>
      <c r="I13">
        <v>0</v>
      </c>
    </row>
    <row r="14" spans="2:9" x14ac:dyDescent="0.3">
      <c r="H14" t="s">
        <v>2186</v>
      </c>
      <c r="I14">
        <f>'BS PL CFL'!G109</f>
        <v>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topLeftCell="A27" workbookViewId="0">
      <selection activeCell="E32" sqref="E32"/>
    </sheetView>
  </sheetViews>
  <sheetFormatPr defaultRowHeight="14.4" x14ac:dyDescent="0.3"/>
  <cols>
    <col min="1" max="1" width="39.88671875" bestFit="1" customWidth="1"/>
    <col min="2" max="2" width="13.33203125" bestFit="1" customWidth="1"/>
    <col min="3" max="4" width="11.6640625" bestFit="1" customWidth="1"/>
    <col min="5" max="5" width="13.33203125" bestFit="1" customWidth="1"/>
  </cols>
  <sheetData>
    <row r="1" spans="1:5" ht="15.6" x14ac:dyDescent="0.3">
      <c r="A1" s="1916" t="s">
        <v>2242</v>
      </c>
      <c r="B1" s="1916"/>
      <c r="C1" s="1916"/>
      <c r="D1" s="1478"/>
      <c r="E1" s="1478"/>
    </row>
    <row r="2" spans="1:5" ht="15.6" x14ac:dyDescent="0.3">
      <c r="A2" s="1916" t="s">
        <v>2243</v>
      </c>
      <c r="B2" s="1916"/>
      <c r="C2" s="1916"/>
      <c r="D2" s="1478"/>
      <c r="E2" s="1478"/>
    </row>
    <row r="3" spans="1:5" x14ac:dyDescent="0.3">
      <c r="A3" s="1918" t="s">
        <v>2246</v>
      </c>
      <c r="B3" s="1918"/>
      <c r="C3" s="1918"/>
      <c r="D3" s="1478"/>
      <c r="E3" s="1478"/>
    </row>
    <row r="4" spans="1:5" x14ac:dyDescent="0.3">
      <c r="A4" s="1477" t="s">
        <v>2238</v>
      </c>
      <c r="B4" s="1911" t="s">
        <v>2242</v>
      </c>
      <c r="C4" s="1912"/>
      <c r="D4" s="1912"/>
      <c r="E4" s="1912"/>
    </row>
    <row r="5" spans="1:5" x14ac:dyDescent="0.3">
      <c r="A5" s="1483" t="s">
        <v>215</v>
      </c>
      <c r="B5" s="2026" t="s">
        <v>2246</v>
      </c>
      <c r="C5" s="2027"/>
      <c r="D5" s="2027"/>
      <c r="E5" s="2027"/>
    </row>
    <row r="6" spans="1:5" x14ac:dyDescent="0.3">
      <c r="A6" s="1483" t="s">
        <v>2238</v>
      </c>
      <c r="B6" s="1482" t="s">
        <v>2241</v>
      </c>
      <c r="C6" s="2024" t="s">
        <v>2240</v>
      </c>
      <c r="D6" s="2025"/>
      <c r="E6" s="1476" t="s">
        <v>2239</v>
      </c>
    </row>
    <row r="7" spans="1:5" x14ac:dyDescent="0.3">
      <c r="A7" s="1481" t="s">
        <v>2238</v>
      </c>
      <c r="B7" s="1480" t="s">
        <v>2235</v>
      </c>
      <c r="C7" s="1475" t="s">
        <v>2237</v>
      </c>
      <c r="D7" s="1475" t="s">
        <v>2236</v>
      </c>
      <c r="E7" s="1474" t="s">
        <v>2235</v>
      </c>
    </row>
    <row r="8" spans="1:5" x14ac:dyDescent="0.3">
      <c r="A8" s="1467" t="s">
        <v>2234</v>
      </c>
      <c r="B8" s="1472">
        <v>23042750</v>
      </c>
      <c r="C8" s="1473"/>
      <c r="D8" s="1473"/>
      <c r="E8" s="1472">
        <v>23042750</v>
      </c>
    </row>
    <row r="9" spans="1:5" x14ac:dyDescent="0.3">
      <c r="A9" s="1463" t="s">
        <v>2233</v>
      </c>
      <c r="B9" s="1471">
        <v>2333750</v>
      </c>
      <c r="C9" s="1462"/>
      <c r="D9" s="1462"/>
      <c r="E9" s="1471">
        <v>2333750</v>
      </c>
    </row>
    <row r="10" spans="1:5" x14ac:dyDescent="0.3">
      <c r="A10" s="1461" t="s">
        <v>2232</v>
      </c>
      <c r="B10" s="1468">
        <v>20709000</v>
      </c>
      <c r="C10" s="1462"/>
      <c r="D10" s="1462"/>
      <c r="E10" s="1468">
        <v>20709000</v>
      </c>
    </row>
    <row r="11" spans="1:5" x14ac:dyDescent="0.3">
      <c r="A11" s="1467" t="s">
        <v>2231</v>
      </c>
      <c r="B11" s="1469">
        <v>34604773.219999999</v>
      </c>
      <c r="C11" s="1465">
        <v>89899525.939999998</v>
      </c>
      <c r="D11" s="1465">
        <v>90769481.900000006</v>
      </c>
      <c r="E11" s="1469">
        <v>35474729.18</v>
      </c>
    </row>
    <row r="12" spans="1:5" x14ac:dyDescent="0.3">
      <c r="A12" s="1463" t="s">
        <v>2230</v>
      </c>
      <c r="B12" s="1455">
        <v>5623327.9100000001</v>
      </c>
      <c r="C12" s="1459">
        <v>8807063.4299999997</v>
      </c>
      <c r="D12" s="1459">
        <v>9852789.0399999991</v>
      </c>
      <c r="E12" s="1455">
        <v>4577602.3</v>
      </c>
    </row>
    <row r="13" spans="1:5" x14ac:dyDescent="0.3">
      <c r="A13" s="1463" t="s">
        <v>2229</v>
      </c>
      <c r="B13" s="1471">
        <v>251859</v>
      </c>
      <c r="C13" s="1459">
        <v>263505</v>
      </c>
      <c r="D13" s="1459">
        <v>38211</v>
      </c>
      <c r="E13" s="1471">
        <v>26565</v>
      </c>
    </row>
    <row r="14" spans="1:5" x14ac:dyDescent="0.3">
      <c r="A14" s="1463" t="s">
        <v>2228</v>
      </c>
      <c r="B14" s="1471">
        <v>21842239.23</v>
      </c>
      <c r="C14" s="1459">
        <v>71407335.200000003</v>
      </c>
      <c r="D14" s="1459">
        <v>75536406.969999999</v>
      </c>
      <c r="E14" s="1471">
        <v>25971311</v>
      </c>
    </row>
    <row r="15" spans="1:5" x14ac:dyDescent="0.3">
      <c r="A15" s="1463" t="s">
        <v>2227</v>
      </c>
      <c r="B15" s="1471">
        <v>18134002.899999999</v>
      </c>
      <c r="C15" s="1459">
        <v>9421622.3100000005</v>
      </c>
      <c r="D15" s="1459">
        <v>5342074.8899999997</v>
      </c>
      <c r="E15" s="1471">
        <v>14054455.48</v>
      </c>
    </row>
    <row r="16" spans="1:5" x14ac:dyDescent="0.3">
      <c r="A16" s="1467" t="s">
        <v>2183</v>
      </c>
      <c r="B16" s="1464">
        <v>53370745.759999998</v>
      </c>
      <c r="C16" s="1465">
        <v>158180750.75999999</v>
      </c>
      <c r="D16" s="1465">
        <v>156227243.47</v>
      </c>
      <c r="E16" s="1464">
        <v>55324253.049999997</v>
      </c>
    </row>
    <row r="17" spans="1:5" x14ac:dyDescent="0.3">
      <c r="A17" s="1461" t="s">
        <v>2226</v>
      </c>
      <c r="B17" s="1458">
        <v>296483.86</v>
      </c>
      <c r="C17" s="1462"/>
      <c r="D17" s="1462"/>
      <c r="E17" s="1458">
        <v>296483.86</v>
      </c>
    </row>
    <row r="18" spans="1:5" x14ac:dyDescent="0.3">
      <c r="A18" s="1463" t="s">
        <v>2225</v>
      </c>
      <c r="B18" s="1455">
        <v>14971191.68</v>
      </c>
      <c r="C18" s="1462"/>
      <c r="D18" s="1462"/>
      <c r="E18" s="1455">
        <v>14971191.68</v>
      </c>
    </row>
    <row r="19" spans="1:5" x14ac:dyDescent="0.3">
      <c r="A19" s="1463" t="s">
        <v>2224</v>
      </c>
      <c r="B19" s="1455">
        <v>26725480.699999999</v>
      </c>
      <c r="C19" s="1459">
        <v>64827727.57</v>
      </c>
      <c r="D19" s="1459">
        <v>73380194.390000001</v>
      </c>
      <c r="E19" s="1455">
        <v>18173013.879999999</v>
      </c>
    </row>
    <row r="20" spans="1:5" x14ac:dyDescent="0.3">
      <c r="A20" s="1463" t="s">
        <v>2223</v>
      </c>
      <c r="B20" s="1455">
        <v>7511</v>
      </c>
      <c r="C20" s="1459">
        <v>315000</v>
      </c>
      <c r="D20" s="1459">
        <v>315000</v>
      </c>
      <c r="E20" s="1455">
        <v>7511</v>
      </c>
    </row>
    <row r="21" spans="1:5" x14ac:dyDescent="0.3">
      <c r="A21" s="1463" t="s">
        <v>2222</v>
      </c>
      <c r="B21" s="1455">
        <v>11168887.52</v>
      </c>
      <c r="C21" s="1459">
        <v>92379645.189999998</v>
      </c>
      <c r="D21" s="1459">
        <v>82412754.079999998</v>
      </c>
      <c r="E21" s="1455">
        <v>21135778.629999999</v>
      </c>
    </row>
    <row r="22" spans="1:5" x14ac:dyDescent="0.3">
      <c r="A22" s="1463" t="s">
        <v>1987</v>
      </c>
      <c r="B22" s="1455">
        <v>201191</v>
      </c>
      <c r="C22" s="1459">
        <v>13585</v>
      </c>
      <c r="D22" s="1459">
        <v>119295</v>
      </c>
      <c r="E22" s="1455">
        <v>95481</v>
      </c>
    </row>
    <row r="23" spans="1:5" x14ac:dyDescent="0.3">
      <c r="A23" s="1461" t="s">
        <v>2221</v>
      </c>
      <c r="B23" s="1460"/>
      <c r="C23" s="1459">
        <v>644793</v>
      </c>
      <c r="D23" s="1462"/>
      <c r="E23" s="1458">
        <v>644793</v>
      </c>
    </row>
    <row r="24" spans="1:5" x14ac:dyDescent="0.3">
      <c r="A24" s="1467" t="s">
        <v>2220</v>
      </c>
      <c r="B24" s="1466"/>
      <c r="C24" s="1470"/>
      <c r="D24" s="1470"/>
      <c r="E24" s="1466"/>
    </row>
    <row r="25" spans="1:5" x14ac:dyDescent="0.3">
      <c r="A25" s="1461" t="s">
        <v>2219</v>
      </c>
      <c r="B25" s="1468">
        <v>3749976.3</v>
      </c>
      <c r="C25" s="1462"/>
      <c r="D25" s="1462"/>
      <c r="E25" s="1468">
        <v>3749976.3</v>
      </c>
    </row>
    <row r="26" spans="1:5" x14ac:dyDescent="0.3">
      <c r="A26" s="1461" t="s">
        <v>2218</v>
      </c>
      <c r="B26" s="1458">
        <v>3749976.3</v>
      </c>
      <c r="C26" s="1462"/>
      <c r="D26" s="1462"/>
      <c r="E26" s="1458">
        <v>3749976.3</v>
      </c>
    </row>
    <row r="27" spans="1:5" x14ac:dyDescent="0.3">
      <c r="A27" s="1467" t="s">
        <v>2217</v>
      </c>
      <c r="B27" s="1466"/>
      <c r="C27" s="1470"/>
      <c r="D27" s="1465">
        <v>54821480.530000001</v>
      </c>
      <c r="E27" s="1469">
        <v>54821480.530000001</v>
      </c>
    </row>
    <row r="28" spans="1:5" x14ac:dyDescent="0.3">
      <c r="A28" s="1461" t="s">
        <v>2216</v>
      </c>
      <c r="B28" s="1460"/>
      <c r="C28" s="1462"/>
      <c r="D28" s="1459">
        <v>54821480.530000001</v>
      </c>
      <c r="E28" s="1468">
        <v>54821480.530000001</v>
      </c>
    </row>
    <row r="29" spans="1:5" x14ac:dyDescent="0.3">
      <c r="A29" s="1467" t="s">
        <v>2215</v>
      </c>
      <c r="B29" s="1466"/>
      <c r="C29" s="1465">
        <v>46380458.829999998</v>
      </c>
      <c r="D29" s="1470"/>
      <c r="E29" s="1464">
        <v>46380458.829999998</v>
      </c>
    </row>
    <row r="30" spans="1:5" x14ac:dyDescent="0.3">
      <c r="A30" s="1461" t="s">
        <v>2214</v>
      </c>
      <c r="B30" s="1460"/>
      <c r="C30" s="1459">
        <v>46380458.829999998</v>
      </c>
      <c r="D30" s="1462"/>
      <c r="E30" s="1458">
        <v>46380458.829999998</v>
      </c>
    </row>
    <row r="31" spans="1:5" x14ac:dyDescent="0.3">
      <c r="A31" s="1467" t="s">
        <v>2213</v>
      </c>
      <c r="B31" s="1466"/>
      <c r="C31" s="1465">
        <v>3055674</v>
      </c>
      <c r="D31" s="1465">
        <v>1587132</v>
      </c>
      <c r="E31" s="1464">
        <v>1468542</v>
      </c>
    </row>
    <row r="32" spans="1:5" x14ac:dyDescent="0.3">
      <c r="A32" s="1461" t="s">
        <v>2212</v>
      </c>
      <c r="B32" s="1460"/>
      <c r="C32" s="1459">
        <v>3055674</v>
      </c>
      <c r="D32" s="1459">
        <v>1587132</v>
      </c>
      <c r="E32" s="1458">
        <v>1468542</v>
      </c>
    </row>
    <row r="33" spans="1:5" x14ac:dyDescent="0.3">
      <c r="A33" s="1467" t="s">
        <v>2211</v>
      </c>
      <c r="B33" s="1466"/>
      <c r="C33" s="1470"/>
      <c r="D33" s="1465">
        <v>2887</v>
      </c>
      <c r="E33" s="1469">
        <v>2887</v>
      </c>
    </row>
    <row r="34" spans="1:5" x14ac:dyDescent="0.3">
      <c r="A34" s="1461" t="s">
        <v>2210</v>
      </c>
      <c r="B34" s="1460"/>
      <c r="C34" s="1462"/>
      <c r="D34" s="1459">
        <v>2887</v>
      </c>
      <c r="E34" s="1468">
        <v>2887</v>
      </c>
    </row>
    <row r="35" spans="1:5" x14ac:dyDescent="0.3">
      <c r="A35" s="1467" t="s">
        <v>2209</v>
      </c>
      <c r="B35" s="1466"/>
      <c r="C35" s="1465">
        <v>5867190.9299999997</v>
      </c>
      <c r="D35" s="1465">
        <v>1.56</v>
      </c>
      <c r="E35" s="1464">
        <v>5867189.3700000001</v>
      </c>
    </row>
    <row r="36" spans="1:5" x14ac:dyDescent="0.3">
      <c r="A36" s="1463" t="s">
        <v>2208</v>
      </c>
      <c r="B36" s="1462"/>
      <c r="C36" s="1459">
        <v>15703.88</v>
      </c>
      <c r="D36" s="1462"/>
      <c r="E36" s="1455">
        <v>15703.88</v>
      </c>
    </row>
    <row r="37" spans="1:5" x14ac:dyDescent="0.3">
      <c r="A37" s="1461" t="s">
        <v>2207</v>
      </c>
      <c r="B37" s="1460"/>
      <c r="C37" s="1459">
        <v>375028</v>
      </c>
      <c r="D37" s="1462"/>
      <c r="E37" s="1458">
        <v>375028</v>
      </c>
    </row>
    <row r="38" spans="1:5" x14ac:dyDescent="0.3">
      <c r="A38" s="1461" t="s">
        <v>2206</v>
      </c>
      <c r="B38" s="1460"/>
      <c r="C38" s="1459">
        <v>15000</v>
      </c>
      <c r="D38" s="1462"/>
      <c r="E38" s="1458">
        <v>15000</v>
      </c>
    </row>
    <row r="39" spans="1:5" x14ac:dyDescent="0.3">
      <c r="A39" s="1461" t="s">
        <v>2205</v>
      </c>
      <c r="B39" s="1460"/>
      <c r="C39" s="1459">
        <v>45246.55</v>
      </c>
      <c r="D39" s="1462"/>
      <c r="E39" s="1458">
        <v>45246.55</v>
      </c>
    </row>
    <row r="40" spans="1:5" x14ac:dyDescent="0.3">
      <c r="A40" s="1461" t="s">
        <v>2204</v>
      </c>
      <c r="B40" s="1460"/>
      <c r="C40" s="1459">
        <v>72542</v>
      </c>
      <c r="D40" s="1462"/>
      <c r="E40" s="1458">
        <v>72542</v>
      </c>
    </row>
    <row r="41" spans="1:5" x14ac:dyDescent="0.3">
      <c r="A41" s="1461" t="s">
        <v>2203</v>
      </c>
      <c r="B41" s="1460"/>
      <c r="C41" s="1459">
        <v>5901</v>
      </c>
      <c r="D41" s="1462"/>
      <c r="E41" s="1458">
        <v>5901</v>
      </c>
    </row>
    <row r="42" spans="1:5" x14ac:dyDescent="0.3">
      <c r="A42" s="1461" t="s">
        <v>2202</v>
      </c>
      <c r="B42" s="1460"/>
      <c r="C42" s="1459">
        <v>40940</v>
      </c>
      <c r="D42" s="1462"/>
      <c r="E42" s="1458">
        <v>40940</v>
      </c>
    </row>
    <row r="43" spans="1:5" x14ac:dyDescent="0.3">
      <c r="A43" s="1461" t="s">
        <v>2163</v>
      </c>
      <c r="B43" s="1460"/>
      <c r="C43" s="1459">
        <v>1891</v>
      </c>
      <c r="D43" s="1462"/>
      <c r="E43" s="1458">
        <v>1891</v>
      </c>
    </row>
    <row r="44" spans="1:5" x14ac:dyDescent="0.3">
      <c r="A44" s="1461" t="s">
        <v>2201</v>
      </c>
      <c r="B44" s="1460"/>
      <c r="C44" s="1459">
        <v>223750</v>
      </c>
      <c r="D44" s="1462"/>
      <c r="E44" s="1458">
        <v>223750</v>
      </c>
    </row>
    <row r="45" spans="1:5" x14ac:dyDescent="0.3">
      <c r="A45" s="1461" t="s">
        <v>2200</v>
      </c>
      <c r="B45" s="1460"/>
      <c r="C45" s="1459">
        <v>600000</v>
      </c>
      <c r="D45" s="1462"/>
      <c r="E45" s="1458">
        <v>600000</v>
      </c>
    </row>
    <row r="46" spans="1:5" x14ac:dyDescent="0.3">
      <c r="A46" s="1461" t="s">
        <v>2199</v>
      </c>
      <c r="B46" s="1460"/>
      <c r="C46" s="1459">
        <v>2317500</v>
      </c>
      <c r="D46" s="1462"/>
      <c r="E46" s="1458">
        <v>2317500</v>
      </c>
    </row>
    <row r="47" spans="1:5" x14ac:dyDescent="0.3">
      <c r="A47" s="1461" t="s">
        <v>2198</v>
      </c>
      <c r="B47" s="1460"/>
      <c r="C47" s="1459">
        <v>83060</v>
      </c>
      <c r="D47" s="1462"/>
      <c r="E47" s="1458">
        <v>83060</v>
      </c>
    </row>
    <row r="48" spans="1:5" x14ac:dyDescent="0.3">
      <c r="A48" s="1461" t="s">
        <v>2197</v>
      </c>
      <c r="B48" s="1460"/>
      <c r="C48" s="1459">
        <v>1966.99</v>
      </c>
      <c r="D48" s="1462"/>
      <c r="E48" s="1458">
        <v>1966.99</v>
      </c>
    </row>
    <row r="49" spans="1:5" x14ac:dyDescent="0.3">
      <c r="A49" s="1461" t="s">
        <v>2196</v>
      </c>
      <c r="B49" s="1460"/>
      <c r="C49" s="1459">
        <v>1737242</v>
      </c>
      <c r="D49" s="1462"/>
      <c r="E49" s="1458">
        <v>1737242</v>
      </c>
    </row>
    <row r="50" spans="1:5" x14ac:dyDescent="0.3">
      <c r="A50" s="1461" t="s">
        <v>272</v>
      </c>
      <c r="B50" s="1460"/>
      <c r="C50" s="1459">
        <v>15500</v>
      </c>
      <c r="D50" s="1462"/>
      <c r="E50" s="1458">
        <v>15500</v>
      </c>
    </row>
    <row r="51" spans="1:5" x14ac:dyDescent="0.3">
      <c r="A51" s="1461" t="s">
        <v>2195</v>
      </c>
      <c r="B51" s="1460"/>
      <c r="C51" s="1459">
        <v>315915</v>
      </c>
      <c r="D51" s="1462"/>
      <c r="E51" s="1458">
        <v>315915</v>
      </c>
    </row>
    <row r="52" spans="1:5" x14ac:dyDescent="0.3">
      <c r="A52" s="1461" t="s">
        <v>2194</v>
      </c>
      <c r="B52" s="1460"/>
      <c r="C52" s="1459">
        <v>4.51</v>
      </c>
      <c r="D52" s="1459">
        <v>1.56</v>
      </c>
      <c r="E52" s="1458">
        <v>2.95</v>
      </c>
    </row>
    <row r="53" spans="1:5" x14ac:dyDescent="0.3">
      <c r="A53" s="1457" t="s">
        <v>2193</v>
      </c>
      <c r="B53" s="1455">
        <v>4276777.46</v>
      </c>
      <c r="C53" s="1456">
        <v>38211</v>
      </c>
      <c r="D53" s="1456">
        <v>13585</v>
      </c>
      <c r="E53" s="1455">
        <v>4301403.46</v>
      </c>
    </row>
    <row r="54" spans="1:5" x14ac:dyDescent="0.3">
      <c r="A54" s="1454" t="s">
        <v>2192</v>
      </c>
      <c r="B54" s="1452"/>
      <c r="C54" s="1453">
        <v>303421811.45999998</v>
      </c>
      <c r="D54" s="1453">
        <v>303421811.45999998</v>
      </c>
      <c r="E54" s="1452"/>
    </row>
  </sheetData>
  <mergeCells count="6">
    <mergeCell ref="C6:D6"/>
    <mergeCell ref="A1:C1"/>
    <mergeCell ref="A2:C2"/>
    <mergeCell ref="A3:C3"/>
    <mergeCell ref="B4:E4"/>
    <mergeCell ref="B5:E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3"/>
  <sheetViews>
    <sheetView workbookViewId="0">
      <selection activeCell="C5" sqref="C5"/>
    </sheetView>
  </sheetViews>
  <sheetFormatPr defaultColWidth="8.88671875" defaultRowHeight="13.8" x14ac:dyDescent="0.25"/>
  <cols>
    <col min="1" max="1" width="8.88671875" style="622"/>
    <col min="2" max="2" width="37.44140625" style="550" customWidth="1"/>
    <col min="3" max="3" width="18" style="550" bestFit="1" customWidth="1"/>
    <col min="4" max="4" width="12.33203125" style="550" customWidth="1"/>
    <col min="5" max="5" width="16.44140625" style="550" bestFit="1" customWidth="1"/>
    <col min="6" max="6" width="18" style="550" bestFit="1" customWidth="1"/>
    <col min="7" max="16384" width="8.88671875" style="550"/>
  </cols>
  <sheetData>
    <row r="2" spans="1:7" x14ac:dyDescent="0.25">
      <c r="A2" s="624" t="s">
        <v>1541</v>
      </c>
      <c r="B2" s="626" t="s">
        <v>1546</v>
      </c>
    </row>
    <row r="3" spans="1:7" ht="45.6" customHeight="1" x14ac:dyDescent="0.25">
      <c r="A3" s="623" t="s">
        <v>1394</v>
      </c>
      <c r="B3" s="2029" t="s">
        <v>1542</v>
      </c>
      <c r="C3" s="2029"/>
      <c r="D3" s="2029"/>
      <c r="E3" s="2029"/>
      <c r="F3" s="2029"/>
      <c r="G3" s="2029"/>
    </row>
    <row r="4" spans="1:7" x14ac:dyDescent="0.25">
      <c r="A4" s="623" t="s">
        <v>1404</v>
      </c>
      <c r="B4" s="617" t="s">
        <v>1739</v>
      </c>
      <c r="C4" s="617"/>
      <c r="D4" s="617"/>
      <c r="E4" s="617"/>
      <c r="F4" s="617"/>
      <c r="G4" s="617"/>
    </row>
    <row r="6" spans="1:7" x14ac:dyDescent="0.25">
      <c r="A6" s="624" t="s">
        <v>1547</v>
      </c>
      <c r="B6" s="626" t="s">
        <v>1548</v>
      </c>
    </row>
    <row r="8" spans="1:7" ht="18.600000000000001" customHeight="1" x14ac:dyDescent="0.25">
      <c r="B8" s="2028" t="s">
        <v>1539</v>
      </c>
      <c r="C8" s="2030">
        <v>43556</v>
      </c>
      <c r="D8" s="2028" t="s">
        <v>1540</v>
      </c>
      <c r="E8" s="2028"/>
      <c r="F8" s="2030">
        <v>43921</v>
      </c>
    </row>
    <row r="9" spans="1:7" ht="18.600000000000001" customHeight="1" x14ac:dyDescent="0.25">
      <c r="B9" s="2028"/>
      <c r="C9" s="2030"/>
      <c r="D9" s="619" t="s">
        <v>1543</v>
      </c>
      <c r="E9" s="619" t="s">
        <v>1544</v>
      </c>
      <c r="F9" s="2030"/>
    </row>
    <row r="10" spans="1:7" ht="32.4" customHeight="1" x14ac:dyDescent="0.25">
      <c r="B10" s="618" t="s">
        <v>1538</v>
      </c>
      <c r="C10" s="620">
        <f>'sch-4-13'!E250+'sch-4-13'!E251+'sch-4-13'!E252+SUM('sch-4-13'!E255:E264)</f>
        <v>203591971</v>
      </c>
      <c r="D10" s="620">
        <v>0</v>
      </c>
      <c r="E10" s="620">
        <v>32517467</v>
      </c>
      <c r="F10" s="620">
        <f>C10+D10-E10</f>
        <v>171074504</v>
      </c>
    </row>
    <row r="11" spans="1:7" ht="32.4" customHeight="1" x14ac:dyDescent="0.25">
      <c r="B11" s="618" t="s">
        <v>1545</v>
      </c>
      <c r="C11" s="620">
        <f>'sch-4-13'!F210</f>
        <v>7815495</v>
      </c>
      <c r="D11" s="620">
        <v>0</v>
      </c>
      <c r="E11" s="620">
        <v>3000000</v>
      </c>
      <c r="F11" s="620">
        <f>C11+D11-E11</f>
        <v>4815495</v>
      </c>
    </row>
    <row r="12" spans="1:7" s="626" customFormat="1" ht="32.4" customHeight="1" thickBot="1" x14ac:dyDescent="0.3">
      <c r="A12" s="624"/>
      <c r="B12" s="584" t="s">
        <v>213</v>
      </c>
      <c r="C12" s="625">
        <f>SUM(C10:C11)</f>
        <v>211407466</v>
      </c>
      <c r="D12" s="625">
        <f>SUM(D10:D11)</f>
        <v>0</v>
      </c>
      <c r="E12" s="625">
        <f>SUM(E10:E11)</f>
        <v>35517467</v>
      </c>
      <c r="F12" s="625">
        <f>SUM(F10:F11)</f>
        <v>175889999</v>
      </c>
    </row>
    <row r="13" spans="1:7" ht="14.4" thickTop="1" x14ac:dyDescent="0.25"/>
  </sheetData>
  <mergeCells count="5">
    <mergeCell ref="D8:E8"/>
    <mergeCell ref="B3:G3"/>
    <mergeCell ref="C8:C9"/>
    <mergeCell ref="F8:F9"/>
    <mergeCell ref="B8:B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82"/>
  <sheetViews>
    <sheetView view="pageBreakPreview" zoomScaleSheetLayoutView="100" workbookViewId="0">
      <selection activeCell="D33" sqref="D33"/>
    </sheetView>
  </sheetViews>
  <sheetFormatPr defaultColWidth="8.88671875" defaultRowHeight="15.6" x14ac:dyDescent="0.3"/>
  <cols>
    <col min="1" max="1" width="8.88671875" style="297"/>
    <col min="2" max="2" width="106.44140625" style="297" customWidth="1"/>
    <col min="3" max="16384" width="8.88671875" style="297"/>
  </cols>
  <sheetData>
    <row r="1" spans="2:2" x14ac:dyDescent="0.3">
      <c r="B1" s="378"/>
    </row>
    <row r="2" spans="2:2" x14ac:dyDescent="0.3">
      <c r="B2" s="378" t="s">
        <v>389</v>
      </c>
    </row>
    <row r="3" spans="2:2" x14ac:dyDescent="0.3">
      <c r="B3" s="378"/>
    </row>
    <row r="4" spans="2:2" x14ac:dyDescent="0.3">
      <c r="B4" s="379" t="s">
        <v>390</v>
      </c>
    </row>
    <row r="5" spans="2:2" ht="78" x14ac:dyDescent="0.3">
      <c r="B5" s="380" t="s">
        <v>1549</v>
      </c>
    </row>
    <row r="6" spans="2:2" x14ac:dyDescent="0.3">
      <c r="B6" s="379" t="s">
        <v>391</v>
      </c>
    </row>
    <row r="7" spans="2:2" ht="46.8" x14ac:dyDescent="0.3">
      <c r="B7" s="381" t="s">
        <v>392</v>
      </c>
    </row>
    <row r="8" spans="2:2" x14ac:dyDescent="0.3">
      <c r="B8" s="378" t="s">
        <v>393</v>
      </c>
    </row>
    <row r="9" spans="2:2" ht="62.4" x14ac:dyDescent="0.3">
      <c r="B9" s="381" t="s">
        <v>394</v>
      </c>
    </row>
    <row r="10" spans="2:2" ht="62.4" x14ac:dyDescent="0.3">
      <c r="B10" s="381" t="s">
        <v>588</v>
      </c>
    </row>
    <row r="11" spans="2:2" x14ac:dyDescent="0.3">
      <c r="B11" s="378" t="s">
        <v>395</v>
      </c>
    </row>
    <row r="12" spans="2:2" ht="31.2" x14ac:dyDescent="0.3">
      <c r="B12" s="381" t="s">
        <v>396</v>
      </c>
    </row>
    <row r="13" spans="2:2" ht="62.4" x14ac:dyDescent="0.3">
      <c r="B13" s="381" t="s">
        <v>397</v>
      </c>
    </row>
    <row r="14" spans="2:2" x14ac:dyDescent="0.3">
      <c r="B14" s="387" t="s">
        <v>1550</v>
      </c>
    </row>
    <row r="15" spans="2:2" ht="78" x14ac:dyDescent="0.3">
      <c r="B15" s="386" t="s">
        <v>1557</v>
      </c>
    </row>
    <row r="16" spans="2:2" x14ac:dyDescent="0.3">
      <c r="B16" s="386" t="s">
        <v>1551</v>
      </c>
    </row>
    <row r="17" spans="2:2" ht="31.2" x14ac:dyDescent="0.3">
      <c r="B17" s="386" t="s">
        <v>1558</v>
      </c>
    </row>
    <row r="18" spans="2:2" x14ac:dyDescent="0.3">
      <c r="B18" s="386" t="s">
        <v>1552</v>
      </c>
    </row>
    <row r="19" spans="2:2" x14ac:dyDescent="0.3">
      <c r="B19" s="386" t="s">
        <v>1553</v>
      </c>
    </row>
    <row r="20" spans="2:2" x14ac:dyDescent="0.3">
      <c r="B20" s="386" t="s">
        <v>1554</v>
      </c>
    </row>
    <row r="21" spans="2:2" x14ac:dyDescent="0.3">
      <c r="B21" s="386" t="s">
        <v>1555</v>
      </c>
    </row>
    <row r="22" spans="2:2" ht="63" customHeight="1" x14ac:dyDescent="0.3">
      <c r="B22" s="386" t="s">
        <v>1556</v>
      </c>
    </row>
    <row r="23" spans="2:2" x14ac:dyDescent="0.3">
      <c r="B23" s="382" t="s">
        <v>398</v>
      </c>
    </row>
    <row r="24" spans="2:2" ht="140.4" x14ac:dyDescent="0.3">
      <c r="B24" s="381" t="s">
        <v>399</v>
      </c>
    </row>
    <row r="25" spans="2:2" x14ac:dyDescent="0.3">
      <c r="B25" s="381"/>
    </row>
    <row r="26" spans="2:2" x14ac:dyDescent="0.3">
      <c r="B26" s="382" t="s">
        <v>400</v>
      </c>
    </row>
    <row r="27" spans="2:2" ht="62.4" x14ac:dyDescent="0.3">
      <c r="B27" s="381" t="s">
        <v>401</v>
      </c>
    </row>
    <row r="28" spans="2:2" ht="31.2" x14ac:dyDescent="0.3">
      <c r="B28" s="381" t="s">
        <v>402</v>
      </c>
    </row>
    <row r="29" spans="2:2" x14ac:dyDescent="0.3">
      <c r="B29" s="383" t="s">
        <v>403</v>
      </c>
    </row>
    <row r="30" spans="2:2" ht="31.2" x14ac:dyDescent="0.3">
      <c r="B30" s="381" t="s">
        <v>404</v>
      </c>
    </row>
    <row r="31" spans="2:2" x14ac:dyDescent="0.3">
      <c r="B31" s="382" t="s">
        <v>405</v>
      </c>
    </row>
    <row r="32" spans="2:2" ht="124.8" x14ac:dyDescent="0.3">
      <c r="B32" s="381" t="s">
        <v>406</v>
      </c>
    </row>
    <row r="33" spans="2:2" ht="31.2" x14ac:dyDescent="0.3">
      <c r="B33" s="384" t="s">
        <v>407</v>
      </c>
    </row>
    <row r="34" spans="2:2" ht="31.2" x14ac:dyDescent="0.3">
      <c r="B34" s="381" t="s">
        <v>408</v>
      </c>
    </row>
    <row r="35" spans="2:2" ht="78" x14ac:dyDescent="0.3">
      <c r="B35" s="381" t="s">
        <v>409</v>
      </c>
    </row>
    <row r="36" spans="2:2" ht="31.2" x14ac:dyDescent="0.3">
      <c r="B36" s="381" t="s">
        <v>410</v>
      </c>
    </row>
    <row r="37" spans="2:2" x14ac:dyDescent="0.3">
      <c r="B37" s="385"/>
    </row>
    <row r="38" spans="2:2" x14ac:dyDescent="0.3">
      <c r="B38" s="382" t="s">
        <v>411</v>
      </c>
    </row>
    <row r="39" spans="2:2" ht="46.8" x14ac:dyDescent="0.3">
      <c r="B39" s="381" t="s">
        <v>412</v>
      </c>
    </row>
    <row r="40" spans="2:2" x14ac:dyDescent="0.3">
      <c r="B40" s="382" t="s">
        <v>413</v>
      </c>
    </row>
    <row r="41" spans="2:2" ht="78" x14ac:dyDescent="0.3">
      <c r="B41" s="381" t="s">
        <v>414</v>
      </c>
    </row>
    <row r="42" spans="2:2" ht="78" x14ac:dyDescent="0.3">
      <c r="B42" s="381" t="s">
        <v>415</v>
      </c>
    </row>
    <row r="43" spans="2:2" x14ac:dyDescent="0.3">
      <c r="B43" s="386"/>
    </row>
    <row r="44" spans="2:2" x14ac:dyDescent="0.3">
      <c r="B44" s="378" t="s">
        <v>416</v>
      </c>
    </row>
    <row r="45" spans="2:2" ht="93.6" x14ac:dyDescent="0.3">
      <c r="B45" s="381" t="s">
        <v>417</v>
      </c>
    </row>
    <row r="46" spans="2:2" x14ac:dyDescent="0.3">
      <c r="B46" s="387" t="s">
        <v>418</v>
      </c>
    </row>
    <row r="47" spans="2:2" ht="93.6" x14ac:dyDescent="0.3">
      <c r="B47" s="381" t="s">
        <v>419</v>
      </c>
    </row>
    <row r="48" spans="2:2" x14ac:dyDescent="0.3">
      <c r="B48" s="388" t="s">
        <v>420</v>
      </c>
    </row>
    <row r="49" spans="2:2" ht="46.8" x14ac:dyDescent="0.3">
      <c r="B49" s="389" t="s">
        <v>421</v>
      </c>
    </row>
    <row r="50" spans="2:2" x14ac:dyDescent="0.3">
      <c r="B50" s="388" t="s">
        <v>422</v>
      </c>
    </row>
    <row r="51" spans="2:2" ht="46.8" x14ac:dyDescent="0.3">
      <c r="B51" s="381" t="s">
        <v>423</v>
      </c>
    </row>
    <row r="52" spans="2:2" ht="62.4" x14ac:dyDescent="0.3">
      <c r="B52" s="381" t="s">
        <v>424</v>
      </c>
    </row>
    <row r="53" spans="2:2" x14ac:dyDescent="0.3">
      <c r="B53" s="382" t="s">
        <v>425</v>
      </c>
    </row>
    <row r="54" spans="2:2" ht="140.4" x14ac:dyDescent="0.3">
      <c r="B54" s="381" t="s">
        <v>426</v>
      </c>
    </row>
    <row r="55" spans="2:2" x14ac:dyDescent="0.3">
      <c r="B55" s="382" t="s">
        <v>427</v>
      </c>
    </row>
    <row r="56" spans="2:2" ht="78" x14ac:dyDescent="0.3">
      <c r="B56" s="381" t="s">
        <v>428</v>
      </c>
    </row>
    <row r="57" spans="2:2" x14ac:dyDescent="0.3">
      <c r="B57" s="382" t="s">
        <v>429</v>
      </c>
    </row>
    <row r="58" spans="2:2" ht="46.8" x14ac:dyDescent="0.3">
      <c r="B58" s="381" t="s">
        <v>430</v>
      </c>
    </row>
    <row r="59" spans="2:2" x14ac:dyDescent="0.3">
      <c r="B59" s="381"/>
    </row>
    <row r="60" spans="2:2" x14ac:dyDescent="0.3">
      <c r="B60" s="382" t="s">
        <v>431</v>
      </c>
    </row>
    <row r="61" spans="2:2" x14ac:dyDescent="0.3">
      <c r="B61" s="390" t="s">
        <v>432</v>
      </c>
    </row>
    <row r="62" spans="2:2" ht="62.4" x14ac:dyDescent="0.3">
      <c r="B62" s="381" t="s">
        <v>433</v>
      </c>
    </row>
    <row r="63" spans="2:2" x14ac:dyDescent="0.3">
      <c r="B63" s="390" t="s">
        <v>434</v>
      </c>
    </row>
    <row r="64" spans="2:2" ht="93.6" x14ac:dyDescent="0.3">
      <c r="B64" s="381" t="s">
        <v>435</v>
      </c>
    </row>
    <row r="65" spans="2:2" x14ac:dyDescent="0.3">
      <c r="B65" s="390" t="s">
        <v>436</v>
      </c>
    </row>
    <row r="66" spans="2:2" ht="31.2" x14ac:dyDescent="0.3">
      <c r="B66" s="381" t="s">
        <v>437</v>
      </c>
    </row>
    <row r="67" spans="2:2" ht="46.8" x14ac:dyDescent="0.3">
      <c r="B67" s="381" t="s">
        <v>438</v>
      </c>
    </row>
    <row r="68" spans="2:2" x14ac:dyDescent="0.3">
      <c r="B68" s="391"/>
    </row>
    <row r="69" spans="2:2" x14ac:dyDescent="0.3">
      <c r="B69" s="382" t="s">
        <v>439</v>
      </c>
    </row>
    <row r="70" spans="2:2" x14ac:dyDescent="0.3">
      <c r="B70" s="392" t="s">
        <v>440</v>
      </c>
    </row>
    <row r="71" spans="2:2" ht="31.2" x14ac:dyDescent="0.3">
      <c r="B71" s="381" t="s">
        <v>441</v>
      </c>
    </row>
    <row r="72" spans="2:2" x14ac:dyDescent="0.3">
      <c r="B72" s="392" t="s">
        <v>442</v>
      </c>
    </row>
    <row r="73" spans="2:2" ht="156" x14ac:dyDescent="0.3">
      <c r="B73" s="381" t="s">
        <v>443</v>
      </c>
    </row>
    <row r="74" spans="2:2" x14ac:dyDescent="0.3">
      <c r="B74" s="382" t="s">
        <v>444</v>
      </c>
    </row>
    <row r="75" spans="2:2" ht="93.6" x14ac:dyDescent="0.3">
      <c r="B75" s="381" t="s">
        <v>445</v>
      </c>
    </row>
    <row r="76" spans="2:2" x14ac:dyDescent="0.3">
      <c r="B76" s="381"/>
    </row>
    <row r="77" spans="2:2" x14ac:dyDescent="0.3">
      <c r="B77" s="382" t="s">
        <v>446</v>
      </c>
    </row>
    <row r="78" spans="2:2" ht="31.2" x14ac:dyDescent="0.3">
      <c r="B78" s="381" t="s">
        <v>447</v>
      </c>
    </row>
    <row r="79" spans="2:2" x14ac:dyDescent="0.3">
      <c r="B79" s="381"/>
    </row>
    <row r="80" spans="2:2" x14ac:dyDescent="0.3">
      <c r="B80" s="382" t="s">
        <v>613</v>
      </c>
    </row>
    <row r="81" spans="2:2" ht="156" customHeight="1" x14ac:dyDescent="0.3">
      <c r="B81" s="381" t="s">
        <v>448</v>
      </c>
    </row>
    <row r="82" spans="2:2" ht="120.75" customHeight="1" x14ac:dyDescent="0.3">
      <c r="B82" s="381" t="s">
        <v>449</v>
      </c>
    </row>
  </sheetData>
  <pageMargins left="0.7" right="0.7" top="0.75" bottom="0.75" header="0.3" footer="0.3"/>
  <pageSetup paperSize="9" scale="93" orientation="portrait" r:id="rId1"/>
  <rowBreaks count="5" manualBreakCount="5">
    <brk id="22" min="1" max="1" man="1"/>
    <brk id="25" max="16383" man="1"/>
    <brk id="39" max="16383" man="1"/>
    <brk id="52" max="16383" man="1"/>
    <brk id="71" min="1" max="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54"/>
  <sheetViews>
    <sheetView view="pageBreakPreview" zoomScaleSheetLayoutView="100" workbookViewId="0">
      <selection activeCell="C174" sqref="C174"/>
    </sheetView>
  </sheetViews>
  <sheetFormatPr defaultColWidth="9.109375" defaultRowHeight="13.8" x14ac:dyDescent="0.25"/>
  <cols>
    <col min="1" max="1" width="1.88671875" style="550" customWidth="1"/>
    <col min="2" max="2" width="14.33203125" style="550" customWidth="1"/>
    <col min="3" max="3" width="62.5546875" style="550" customWidth="1"/>
    <col min="4" max="5" width="20.33203125" style="559" customWidth="1"/>
    <col min="6" max="7" width="22.44140625" style="550" customWidth="1"/>
    <col min="8" max="8" width="14.33203125" style="550" bestFit="1" customWidth="1"/>
    <col min="9" max="9" width="15.88671875" style="550" bestFit="1" customWidth="1"/>
    <col min="10" max="10" width="9.109375" style="550"/>
    <col min="11" max="11" width="10.109375" style="550" bestFit="1" customWidth="1"/>
    <col min="12" max="16384" width="9.109375" style="550"/>
  </cols>
  <sheetData>
    <row r="2" spans="1:5" ht="16.5" customHeight="1" x14ac:dyDescent="0.25">
      <c r="A2" s="2037" t="s">
        <v>212</v>
      </c>
      <c r="B2" s="2037"/>
      <c r="C2" s="2037"/>
      <c r="D2" s="2037"/>
      <c r="E2" s="2037"/>
    </row>
    <row r="3" spans="1:5" ht="16.5" customHeight="1" x14ac:dyDescent="0.25">
      <c r="A3" s="2038" t="s">
        <v>389</v>
      </c>
      <c r="B3" s="2038"/>
      <c r="C3" s="2038"/>
      <c r="D3" s="2038"/>
      <c r="E3" s="2038"/>
    </row>
    <row r="4" spans="1:5" ht="16.5" customHeight="1" x14ac:dyDescent="0.25">
      <c r="A4" s="647"/>
      <c r="B4" s="648" t="s">
        <v>1569</v>
      </c>
      <c r="C4" s="647"/>
      <c r="D4" s="718"/>
      <c r="E4" s="719" t="s">
        <v>341</v>
      </c>
    </row>
    <row r="5" spans="1:5" ht="16.2" customHeight="1" x14ac:dyDescent="0.25">
      <c r="A5" s="647"/>
      <c r="B5" s="649">
        <v>4.0999999999999996</v>
      </c>
      <c r="C5" s="650" t="s">
        <v>1570</v>
      </c>
      <c r="D5" s="720"/>
      <c r="E5" s="720"/>
    </row>
    <row r="6" spans="1:5" ht="41.4" customHeight="1" x14ac:dyDescent="0.25">
      <c r="A6" s="647"/>
      <c r="B6" s="651"/>
      <c r="C6" s="652"/>
      <c r="D6" s="721" t="s">
        <v>1331</v>
      </c>
      <c r="E6" s="721" t="s">
        <v>583</v>
      </c>
    </row>
    <row r="7" spans="1:5" ht="16.5" customHeight="1" x14ac:dyDescent="0.25">
      <c r="A7" s="647"/>
      <c r="B7" s="653"/>
      <c r="C7" s="654" t="s">
        <v>1590</v>
      </c>
      <c r="D7" s="722">
        <v>0</v>
      </c>
      <c r="E7" s="722">
        <v>0</v>
      </c>
    </row>
    <row r="8" spans="1:5" ht="16.5" customHeight="1" x14ac:dyDescent="0.25">
      <c r="A8" s="647"/>
      <c r="B8" s="655"/>
      <c r="C8" s="656" t="s">
        <v>1591</v>
      </c>
      <c r="D8" s="722">
        <v>0</v>
      </c>
      <c r="E8" s="722">
        <v>0</v>
      </c>
    </row>
    <row r="9" spans="1:5" ht="16.5" customHeight="1" x14ac:dyDescent="0.25">
      <c r="A9" s="647"/>
      <c r="B9" s="655"/>
      <c r="C9" s="656" t="s">
        <v>1573</v>
      </c>
      <c r="D9" s="722">
        <v>0</v>
      </c>
      <c r="E9" s="722">
        <v>0</v>
      </c>
    </row>
    <row r="10" spans="1:5" ht="16.5" customHeight="1" x14ac:dyDescent="0.25">
      <c r="A10" s="647"/>
      <c r="B10" s="655"/>
      <c r="C10" s="656" t="s">
        <v>1572</v>
      </c>
      <c r="D10" s="722">
        <v>0</v>
      </c>
      <c r="E10" s="722">
        <v>0</v>
      </c>
    </row>
    <row r="11" spans="1:5" ht="16.2" customHeight="1" x14ac:dyDescent="0.25">
      <c r="A11" s="647"/>
      <c r="B11" s="655"/>
      <c r="C11" s="656" t="s">
        <v>1571</v>
      </c>
      <c r="D11" s="722">
        <v>0</v>
      </c>
      <c r="E11" s="722">
        <v>0</v>
      </c>
    </row>
    <row r="12" spans="1:5" ht="16.5" customHeight="1" thickBot="1" x14ac:dyDescent="0.3">
      <c r="A12" s="647"/>
      <c r="B12" s="651"/>
      <c r="C12" s="657" t="s">
        <v>1597</v>
      </c>
      <c r="D12" s="723">
        <f>SUM(D7:D11)</f>
        <v>0</v>
      </c>
      <c r="E12" s="723">
        <f>SUM(E7:E11)</f>
        <v>0</v>
      </c>
    </row>
    <row r="13" spans="1:5" ht="16.5" customHeight="1" thickTop="1" x14ac:dyDescent="0.25">
      <c r="A13" s="647"/>
      <c r="B13" s="560"/>
      <c r="C13" s="658"/>
      <c r="D13" s="724"/>
      <c r="E13" s="724"/>
    </row>
    <row r="14" spans="1:5" ht="16.5" customHeight="1" x14ac:dyDescent="0.25">
      <c r="A14" s="647"/>
      <c r="B14" s="658">
        <v>4.2</v>
      </c>
      <c r="C14" s="659" t="s">
        <v>1574</v>
      </c>
      <c r="D14" s="724"/>
      <c r="E14" s="719" t="s">
        <v>341</v>
      </c>
    </row>
    <row r="15" spans="1:5" ht="48" customHeight="1" x14ac:dyDescent="0.25">
      <c r="A15" s="647"/>
      <c r="B15" s="651"/>
      <c r="C15" s="652"/>
      <c r="D15" s="721" t="s">
        <v>1331</v>
      </c>
      <c r="E15" s="721" t="s">
        <v>583</v>
      </c>
    </row>
    <row r="16" spans="1:5" ht="16.5" customHeight="1" x14ac:dyDescent="0.25">
      <c r="A16" s="647"/>
      <c r="B16" s="653"/>
      <c r="C16" s="654" t="s">
        <v>1575</v>
      </c>
      <c r="D16" s="725">
        <v>0</v>
      </c>
      <c r="E16" s="725">
        <v>0</v>
      </c>
    </row>
    <row r="17" spans="1:5" ht="16.5" customHeight="1" x14ac:dyDescent="0.25">
      <c r="A17" s="647"/>
      <c r="B17" s="655"/>
      <c r="C17" s="656" t="s">
        <v>1576</v>
      </c>
      <c r="D17" s="725">
        <v>0</v>
      </c>
      <c r="E17" s="725">
        <v>0</v>
      </c>
    </row>
    <row r="18" spans="1:5" ht="16.5" customHeight="1" x14ac:dyDescent="0.25">
      <c r="A18" s="647"/>
      <c r="B18" s="655"/>
      <c r="C18" s="656" t="s">
        <v>1577</v>
      </c>
      <c r="D18" s="725">
        <v>0</v>
      </c>
      <c r="E18" s="725">
        <v>0</v>
      </c>
    </row>
    <row r="19" spans="1:5" ht="16.5" customHeight="1" x14ac:dyDescent="0.25">
      <c r="A19" s="647"/>
      <c r="B19" s="655"/>
      <c r="C19" s="656" t="s">
        <v>1578</v>
      </c>
      <c r="D19" s="725">
        <v>0</v>
      </c>
      <c r="E19" s="725">
        <v>0</v>
      </c>
    </row>
    <row r="20" spans="1:5" ht="16.5" customHeight="1" x14ac:dyDescent="0.25">
      <c r="A20" s="647"/>
      <c r="B20" s="655"/>
      <c r="C20" s="656" t="s">
        <v>1579</v>
      </c>
      <c r="D20" s="725">
        <v>0</v>
      </c>
      <c r="E20" s="725">
        <v>0</v>
      </c>
    </row>
    <row r="21" spans="1:5" ht="16.5" customHeight="1" x14ac:dyDescent="0.25">
      <c r="A21" s="647"/>
      <c r="B21" s="655"/>
      <c r="C21" s="656" t="s">
        <v>1577</v>
      </c>
      <c r="D21" s="725">
        <v>0</v>
      </c>
      <c r="E21" s="725">
        <v>0</v>
      </c>
    </row>
    <row r="22" spans="1:5" ht="16.5" customHeight="1" thickBot="1" x14ac:dyDescent="0.3">
      <c r="A22" s="647"/>
      <c r="B22" s="651"/>
      <c r="C22" s="657" t="s">
        <v>213</v>
      </c>
      <c r="D22" s="726">
        <f>SUM(D16:D21)</f>
        <v>0</v>
      </c>
      <c r="E22" s="726">
        <f>SUM(E16:E21)</f>
        <v>0</v>
      </c>
    </row>
    <row r="23" spans="1:5" ht="16.5" customHeight="1" thickTop="1" x14ac:dyDescent="0.25">
      <c r="A23" s="647"/>
      <c r="B23" s="560"/>
      <c r="C23" s="658"/>
      <c r="D23" s="724"/>
      <c r="E23" s="724"/>
    </row>
    <row r="24" spans="1:5" ht="16.5" customHeight="1" x14ac:dyDescent="0.25">
      <c r="A24" s="647"/>
      <c r="B24" s="658">
        <v>4.3</v>
      </c>
      <c r="C24" s="659" t="s">
        <v>1580</v>
      </c>
      <c r="D24" s="724"/>
      <c r="E24" s="719" t="s">
        <v>341</v>
      </c>
    </row>
    <row r="25" spans="1:5" ht="27.6" x14ac:dyDescent="0.25">
      <c r="A25" s="647"/>
      <c r="B25" s="651"/>
      <c r="C25" s="652"/>
      <c r="D25" s="721" t="s">
        <v>1331</v>
      </c>
      <c r="E25" s="721" t="s">
        <v>583</v>
      </c>
    </row>
    <row r="26" spans="1:5" ht="16.5" customHeight="1" x14ac:dyDescent="0.25">
      <c r="A26" s="647"/>
      <c r="B26" s="655"/>
      <c r="C26" s="660" t="s">
        <v>1596</v>
      </c>
      <c r="D26" s="727"/>
      <c r="E26" s="727"/>
    </row>
    <row r="27" spans="1:5" ht="16.5" customHeight="1" x14ac:dyDescent="0.25">
      <c r="A27" s="647"/>
      <c r="B27" s="655"/>
      <c r="C27" s="661" t="s">
        <v>1581</v>
      </c>
      <c r="D27" s="728">
        <v>0</v>
      </c>
      <c r="E27" s="728">
        <v>0</v>
      </c>
    </row>
    <row r="28" spans="1:5" ht="16.5" customHeight="1" x14ac:dyDescent="0.25">
      <c r="A28" s="647"/>
      <c r="B28" s="655"/>
      <c r="C28" s="661" t="s">
        <v>1582</v>
      </c>
      <c r="D28" s="728">
        <v>0</v>
      </c>
      <c r="E28" s="728">
        <v>0</v>
      </c>
    </row>
    <row r="29" spans="1:5" ht="16.5" customHeight="1" x14ac:dyDescent="0.25">
      <c r="A29" s="647"/>
      <c r="B29" s="655"/>
      <c r="C29" s="660" t="s">
        <v>1595</v>
      </c>
      <c r="D29" s="728"/>
      <c r="E29" s="728"/>
    </row>
    <row r="30" spans="1:5" ht="16.5" customHeight="1" x14ac:dyDescent="0.25">
      <c r="A30" s="647"/>
      <c r="B30" s="653"/>
      <c r="C30" s="661" t="s">
        <v>1581</v>
      </c>
      <c r="D30" s="729">
        <v>0</v>
      </c>
      <c r="E30" s="729">
        <v>0</v>
      </c>
    </row>
    <row r="31" spans="1:5" ht="16.5" customHeight="1" x14ac:dyDescent="0.25">
      <c r="A31" s="647"/>
      <c r="B31" s="655"/>
      <c r="C31" s="661" t="s">
        <v>1582</v>
      </c>
      <c r="D31" s="729">
        <v>0</v>
      </c>
      <c r="E31" s="729">
        <v>0</v>
      </c>
    </row>
    <row r="32" spans="1:5" ht="16.5" customHeight="1" x14ac:dyDescent="0.25">
      <c r="A32" s="647"/>
      <c r="B32" s="655"/>
      <c r="C32" s="660" t="s">
        <v>1594</v>
      </c>
      <c r="D32" s="729"/>
      <c r="E32" s="729"/>
    </row>
    <row r="33" spans="1:5" ht="16.5" customHeight="1" x14ac:dyDescent="0.25">
      <c r="A33" s="647"/>
      <c r="B33" s="655"/>
      <c r="C33" s="661" t="s">
        <v>1581</v>
      </c>
      <c r="D33" s="729">
        <v>0</v>
      </c>
      <c r="E33" s="729">
        <v>0</v>
      </c>
    </row>
    <row r="34" spans="1:5" ht="16.5" customHeight="1" x14ac:dyDescent="0.25">
      <c r="A34" s="647"/>
      <c r="B34" s="655"/>
      <c r="C34" s="661" t="s">
        <v>1582</v>
      </c>
      <c r="D34" s="729">
        <v>0</v>
      </c>
      <c r="E34" s="729">
        <v>0</v>
      </c>
    </row>
    <row r="35" spans="1:5" ht="16.5" customHeight="1" x14ac:dyDescent="0.25">
      <c r="A35" s="647"/>
      <c r="B35" s="655"/>
      <c r="C35" s="656" t="s">
        <v>1583</v>
      </c>
      <c r="D35" s="729">
        <v>0</v>
      </c>
      <c r="E35" s="729">
        <v>0</v>
      </c>
    </row>
    <row r="36" spans="1:5" ht="16.5" customHeight="1" thickBot="1" x14ac:dyDescent="0.3">
      <c r="A36" s="647"/>
      <c r="B36" s="651"/>
      <c r="C36" s="657" t="s">
        <v>1584</v>
      </c>
      <c r="D36" s="730">
        <f>SUM(D30:D35)</f>
        <v>0</v>
      </c>
      <c r="E36" s="730">
        <f>SUM(E30:E35)</f>
        <v>0</v>
      </c>
    </row>
    <row r="37" spans="1:5" ht="16.5" customHeight="1" thickTop="1" x14ac:dyDescent="0.25">
      <c r="A37" s="647"/>
      <c r="B37" s="560"/>
      <c r="C37" s="658"/>
      <c r="D37" s="724"/>
      <c r="E37" s="724"/>
    </row>
    <row r="38" spans="1:5" x14ac:dyDescent="0.25">
      <c r="A38" s="560"/>
      <c r="B38" s="662" t="s">
        <v>1585</v>
      </c>
      <c r="C38" s="663" t="s">
        <v>1586</v>
      </c>
      <c r="E38" s="719" t="s">
        <v>341</v>
      </c>
    </row>
    <row r="39" spans="1:5" ht="27.6" x14ac:dyDescent="0.25">
      <c r="A39" s="560"/>
      <c r="B39" s="651"/>
      <c r="C39" s="652"/>
      <c r="D39" s="721" t="s">
        <v>1331</v>
      </c>
      <c r="E39" s="721" t="s">
        <v>583</v>
      </c>
    </row>
    <row r="40" spans="1:5" x14ac:dyDescent="0.25">
      <c r="A40" s="560"/>
      <c r="B40" s="653"/>
      <c r="C40" s="664" t="s">
        <v>1593</v>
      </c>
      <c r="D40" s="731"/>
      <c r="E40" s="731"/>
    </row>
    <row r="41" spans="1:5" x14ac:dyDescent="0.25">
      <c r="A41" s="560"/>
      <c r="B41" s="653"/>
      <c r="C41" s="654" t="s">
        <v>1587</v>
      </c>
      <c r="D41" s="732">
        <v>0</v>
      </c>
      <c r="E41" s="732">
        <v>0</v>
      </c>
    </row>
    <row r="42" spans="1:5" x14ac:dyDescent="0.25">
      <c r="A42" s="560"/>
      <c r="B42" s="653"/>
      <c r="C42" s="654" t="s">
        <v>1588</v>
      </c>
      <c r="D42" s="732">
        <v>0</v>
      </c>
      <c r="E42" s="732">
        <v>0</v>
      </c>
    </row>
    <row r="43" spans="1:5" x14ac:dyDescent="0.25">
      <c r="A43" s="560"/>
      <c r="B43" s="653"/>
      <c r="C43" s="654" t="s">
        <v>1589</v>
      </c>
      <c r="D43" s="732">
        <v>0</v>
      </c>
      <c r="E43" s="732">
        <v>0</v>
      </c>
    </row>
    <row r="44" spans="1:5" x14ac:dyDescent="0.25">
      <c r="A44" s="560"/>
      <c r="B44" s="653"/>
      <c r="C44" s="665" t="s">
        <v>1592</v>
      </c>
      <c r="D44" s="731"/>
      <c r="E44" s="731"/>
    </row>
    <row r="45" spans="1:5" x14ac:dyDescent="0.25">
      <c r="A45" s="560"/>
      <c r="B45" s="653"/>
      <c r="C45" s="666" t="s">
        <v>1598</v>
      </c>
      <c r="D45" s="676">
        <v>0</v>
      </c>
      <c r="E45" s="676">
        <v>0</v>
      </c>
    </row>
    <row r="46" spans="1:5" s="626" customFormat="1" ht="14.4" thickBot="1" x14ac:dyDescent="0.3">
      <c r="A46" s="663"/>
      <c r="B46" s="667"/>
      <c r="C46" s="668" t="s">
        <v>1599</v>
      </c>
      <c r="D46" s="733">
        <f>SUM(D40:D45)</f>
        <v>0</v>
      </c>
      <c r="E46" s="733">
        <f>SUM(E40:E45)</f>
        <v>0</v>
      </c>
    </row>
    <row r="47" spans="1:5" ht="14.4" thickTop="1" x14ac:dyDescent="0.25">
      <c r="A47" s="560"/>
      <c r="B47" s="653"/>
      <c r="C47" s="669" t="s">
        <v>1600</v>
      </c>
      <c r="D47" s="676"/>
      <c r="E47" s="676"/>
    </row>
    <row r="48" spans="1:5" x14ac:dyDescent="0.25">
      <c r="A48" s="560"/>
      <c r="B48" s="653"/>
      <c r="C48" s="666" t="s">
        <v>1601</v>
      </c>
      <c r="D48" s="676">
        <f>D46</f>
        <v>0</v>
      </c>
      <c r="E48" s="676">
        <f>E46</f>
        <v>0</v>
      </c>
    </row>
    <row r="49" spans="1:6" x14ac:dyDescent="0.25">
      <c r="A49" s="560"/>
      <c r="B49" s="653"/>
      <c r="C49" s="666" t="s">
        <v>1602</v>
      </c>
      <c r="D49" s="676"/>
      <c r="E49" s="676"/>
    </row>
    <row r="50" spans="1:6" x14ac:dyDescent="0.25">
      <c r="A50" s="560"/>
      <c r="B50" s="653"/>
      <c r="C50" s="654" t="s">
        <v>1587</v>
      </c>
      <c r="D50" s="676">
        <v>0</v>
      </c>
      <c r="E50" s="676">
        <v>0</v>
      </c>
    </row>
    <row r="51" spans="1:6" x14ac:dyDescent="0.25">
      <c r="A51" s="560"/>
      <c r="B51" s="653"/>
      <c r="C51" s="654" t="s">
        <v>1588</v>
      </c>
      <c r="D51" s="676">
        <v>0</v>
      </c>
      <c r="E51" s="676">
        <v>0</v>
      </c>
    </row>
    <row r="52" spans="1:6" x14ac:dyDescent="0.25">
      <c r="A52" s="560"/>
      <c r="B52" s="653"/>
      <c r="C52" s="654" t="s">
        <v>1589</v>
      </c>
      <c r="D52" s="676">
        <v>0</v>
      </c>
      <c r="E52" s="676">
        <v>0</v>
      </c>
    </row>
    <row r="53" spans="1:6" x14ac:dyDescent="0.25">
      <c r="A53" s="560"/>
      <c r="B53" s="655"/>
      <c r="D53" s="676"/>
      <c r="E53" s="676"/>
    </row>
    <row r="54" spans="1:6" ht="14.4" thickBot="1" x14ac:dyDescent="0.3">
      <c r="A54" s="560"/>
      <c r="B54" s="651"/>
      <c r="C54" s="670" t="s">
        <v>1599</v>
      </c>
      <c r="D54" s="733">
        <f>D48-SUM(D50:D53)</f>
        <v>0</v>
      </c>
      <c r="E54" s="733">
        <f>E48-SUM(E50:E53)</f>
        <v>0</v>
      </c>
      <c r="F54" s="552"/>
    </row>
    <row r="55" spans="1:6" ht="14.4" thickTop="1" x14ac:dyDescent="0.25">
      <c r="A55" s="560"/>
      <c r="B55" s="560"/>
      <c r="C55" s="647"/>
      <c r="D55" s="724"/>
      <c r="E55" s="724"/>
      <c r="F55" s="552"/>
    </row>
    <row r="56" spans="1:6" x14ac:dyDescent="0.25">
      <c r="A56" s="560"/>
      <c r="B56" s="662" t="s">
        <v>1603</v>
      </c>
      <c r="C56" s="663" t="s">
        <v>1604</v>
      </c>
      <c r="E56" s="719" t="s">
        <v>341</v>
      </c>
    </row>
    <row r="57" spans="1:6" ht="27.6" x14ac:dyDescent="0.25">
      <c r="A57" s="560"/>
      <c r="B57" s="671"/>
      <c r="C57" s="652"/>
      <c r="D57" s="721" t="s">
        <v>1331</v>
      </c>
      <c r="E57" s="734" t="s">
        <v>583</v>
      </c>
    </row>
    <row r="58" spans="1:6" x14ac:dyDescent="0.25">
      <c r="A58" s="560"/>
      <c r="B58" s="558"/>
      <c r="C58" s="672" t="s">
        <v>1605</v>
      </c>
      <c r="D58" s="727">
        <v>0</v>
      </c>
      <c r="E58" s="735">
        <v>0</v>
      </c>
    </row>
    <row r="59" spans="1:6" x14ac:dyDescent="0.25">
      <c r="A59" s="560"/>
      <c r="B59" s="556"/>
      <c r="C59" s="654" t="s">
        <v>1606</v>
      </c>
      <c r="D59" s="727">
        <v>0</v>
      </c>
      <c r="E59" s="735">
        <v>0</v>
      </c>
    </row>
    <row r="60" spans="1:6" x14ac:dyDescent="0.25">
      <c r="A60" s="560"/>
      <c r="B60" s="556"/>
      <c r="C60" s="654" t="s">
        <v>1607</v>
      </c>
      <c r="D60" s="727">
        <v>0</v>
      </c>
      <c r="E60" s="735">
        <v>0</v>
      </c>
    </row>
    <row r="61" spans="1:6" x14ac:dyDescent="0.25">
      <c r="A61" s="560"/>
      <c r="B61" s="558"/>
      <c r="C61" s="673" t="s">
        <v>1608</v>
      </c>
      <c r="D61" s="727">
        <v>0</v>
      </c>
      <c r="E61" s="735">
        <v>0</v>
      </c>
    </row>
    <row r="62" spans="1:6" x14ac:dyDescent="0.25">
      <c r="A62" s="560"/>
      <c r="B62" s="558"/>
      <c r="C62" s="560" t="s">
        <v>1609</v>
      </c>
      <c r="D62" s="727">
        <v>0</v>
      </c>
      <c r="E62" s="735">
        <v>0</v>
      </c>
    </row>
    <row r="63" spans="1:6" x14ac:dyDescent="0.25">
      <c r="A63" s="560"/>
      <c r="B63" s="558"/>
      <c r="C63" s="560" t="s">
        <v>1610</v>
      </c>
      <c r="D63" s="727">
        <v>0</v>
      </c>
      <c r="E63" s="735">
        <v>0</v>
      </c>
    </row>
    <row r="64" spans="1:6" x14ac:dyDescent="0.25">
      <c r="A64" s="560"/>
      <c r="B64" s="558"/>
      <c r="C64" s="674" t="s">
        <v>1611</v>
      </c>
      <c r="D64" s="727">
        <v>0</v>
      </c>
      <c r="E64" s="735">
        <v>0</v>
      </c>
    </row>
    <row r="65" spans="1:5" s="626" customFormat="1" ht="33.6" customHeight="1" x14ac:dyDescent="0.25">
      <c r="A65" s="663"/>
      <c r="B65" s="557"/>
      <c r="C65" s="675" t="s">
        <v>1613</v>
      </c>
      <c r="D65" s="551">
        <f>SUM(D58:D64)</f>
        <v>0</v>
      </c>
      <c r="E65" s="551">
        <f>SUM(E58:E64)</f>
        <v>0</v>
      </c>
    </row>
    <row r="66" spans="1:5" s="626" customFormat="1" ht="27.6" x14ac:dyDescent="0.25">
      <c r="A66" s="663"/>
      <c r="B66" s="557"/>
      <c r="C66" s="675" t="s">
        <v>1612</v>
      </c>
      <c r="D66" s="551">
        <v>0</v>
      </c>
      <c r="E66" s="736">
        <v>0</v>
      </c>
    </row>
    <row r="67" spans="1:5" x14ac:dyDescent="0.25">
      <c r="A67" s="560"/>
      <c r="B67" s="558"/>
      <c r="C67" s="560" t="s">
        <v>1614</v>
      </c>
      <c r="D67" s="676">
        <v>0</v>
      </c>
      <c r="E67" s="677">
        <v>0</v>
      </c>
    </row>
    <row r="68" spans="1:5" x14ac:dyDescent="0.25">
      <c r="A68" s="560"/>
      <c r="B68" s="558"/>
      <c r="C68" s="560" t="s">
        <v>1615</v>
      </c>
      <c r="D68" s="676">
        <v>0</v>
      </c>
      <c r="E68" s="677">
        <v>0</v>
      </c>
    </row>
    <row r="69" spans="1:5" x14ac:dyDescent="0.25">
      <c r="A69" s="560"/>
      <c r="B69" s="558"/>
      <c r="C69" s="560" t="s">
        <v>1616</v>
      </c>
      <c r="D69" s="676">
        <v>0</v>
      </c>
      <c r="E69" s="677">
        <v>0</v>
      </c>
    </row>
    <row r="70" spans="1:5" x14ac:dyDescent="0.25">
      <c r="A70" s="560"/>
      <c r="B70" s="558"/>
      <c r="C70" s="560" t="s">
        <v>1617</v>
      </c>
      <c r="D70" s="676">
        <v>0</v>
      </c>
      <c r="E70" s="677">
        <v>0</v>
      </c>
    </row>
    <row r="71" spans="1:5" ht="14.4" thickBot="1" x14ac:dyDescent="0.3">
      <c r="A71" s="560"/>
      <c r="B71" s="678"/>
      <c r="C71" s="679" t="s">
        <v>1618</v>
      </c>
      <c r="D71" s="733">
        <f>SUM(D66:D70)</f>
        <v>0</v>
      </c>
      <c r="E71" s="733">
        <f>SUM(E66:E70)</f>
        <v>0</v>
      </c>
    </row>
    <row r="72" spans="1:5" ht="14.4" thickTop="1" x14ac:dyDescent="0.25">
      <c r="A72" s="560"/>
      <c r="B72" s="560"/>
      <c r="C72" s="560"/>
    </row>
    <row r="73" spans="1:5" x14ac:dyDescent="0.25">
      <c r="A73" s="560"/>
      <c r="B73" s="663" t="s">
        <v>1619</v>
      </c>
      <c r="C73" s="663" t="s">
        <v>1620</v>
      </c>
      <c r="E73" s="719" t="s">
        <v>341</v>
      </c>
    </row>
    <row r="74" spans="1:5" ht="27.6" x14ac:dyDescent="0.25">
      <c r="A74" s="560"/>
      <c r="B74" s="651"/>
      <c r="C74" s="652"/>
      <c r="D74" s="721" t="str">
        <f>D57</f>
        <v>As at March 31, 2020</v>
      </c>
      <c r="E74" s="734" t="str">
        <f>E57</f>
        <v>As at March 31, 2019</v>
      </c>
    </row>
    <row r="75" spans="1:5" x14ac:dyDescent="0.25">
      <c r="A75" s="560"/>
      <c r="B75" s="655"/>
      <c r="C75" s="663" t="s">
        <v>1621</v>
      </c>
      <c r="D75" s="676"/>
      <c r="E75" s="677"/>
    </row>
    <row r="76" spans="1:5" x14ac:dyDescent="0.25">
      <c r="A76" s="560"/>
      <c r="B76" s="655"/>
      <c r="C76" s="647" t="s">
        <v>1626</v>
      </c>
      <c r="D76" s="676"/>
      <c r="E76" s="677"/>
    </row>
    <row r="77" spans="1:5" x14ac:dyDescent="0.25">
      <c r="A77" s="560"/>
      <c r="B77" s="655"/>
      <c r="C77" s="560" t="s">
        <v>1622</v>
      </c>
      <c r="D77" s="676">
        <f>'P&amp;L'!F33</f>
        <v>0</v>
      </c>
      <c r="E77" s="676">
        <f>'P&amp;L'!G33</f>
        <v>0</v>
      </c>
    </row>
    <row r="78" spans="1:5" x14ac:dyDescent="0.25">
      <c r="A78" s="560"/>
      <c r="B78" s="655"/>
      <c r="C78" s="560" t="s">
        <v>1623</v>
      </c>
      <c r="D78" s="676"/>
      <c r="E78" s="677"/>
    </row>
    <row r="79" spans="1:5" ht="14.4" thickBot="1" x14ac:dyDescent="0.3">
      <c r="A79" s="560"/>
      <c r="B79" s="655"/>
      <c r="C79" s="647" t="s">
        <v>1624</v>
      </c>
      <c r="D79" s="737">
        <f>D76+D77-D78</f>
        <v>0</v>
      </c>
      <c r="E79" s="737">
        <f>E76+E77-E78</f>
        <v>0</v>
      </c>
    </row>
    <row r="80" spans="1:5" ht="14.4" thickTop="1" x14ac:dyDescent="0.25">
      <c r="A80" s="560"/>
      <c r="B80" s="655"/>
      <c r="C80" s="560"/>
      <c r="D80" s="676"/>
      <c r="E80" s="677"/>
    </row>
    <row r="81" spans="1:5" x14ac:dyDescent="0.25">
      <c r="A81" s="560"/>
      <c r="B81" s="655"/>
      <c r="C81" s="663" t="s">
        <v>1625</v>
      </c>
      <c r="D81" s="676"/>
      <c r="E81" s="677"/>
    </row>
    <row r="82" spans="1:5" x14ac:dyDescent="0.25">
      <c r="A82" s="560"/>
      <c r="B82" s="655"/>
      <c r="C82" s="647" t="s">
        <v>1626</v>
      </c>
      <c r="D82" s="676"/>
      <c r="E82" s="677"/>
    </row>
    <row r="83" spans="1:5" x14ac:dyDescent="0.25">
      <c r="A83" s="560"/>
      <c r="B83" s="655"/>
      <c r="C83" s="560" t="s">
        <v>1713</v>
      </c>
      <c r="D83" s="676">
        <f>+'Final tb'!B31</f>
        <v>58130.35</v>
      </c>
      <c r="E83" s="676">
        <v>40365</v>
      </c>
    </row>
    <row r="84" spans="1:5" x14ac:dyDescent="0.25">
      <c r="A84" s="560"/>
      <c r="B84" s="655"/>
      <c r="C84" s="560" t="s">
        <v>1627</v>
      </c>
      <c r="D84" s="676"/>
      <c r="E84" s="677"/>
    </row>
    <row r="85" spans="1:5" ht="14.4" thickBot="1" x14ac:dyDescent="0.3">
      <c r="A85" s="560"/>
      <c r="B85" s="655"/>
      <c r="C85" s="647" t="s">
        <v>1628</v>
      </c>
      <c r="D85" s="738">
        <f>D82+D83-D84</f>
        <v>58130.35</v>
      </c>
      <c r="E85" s="738">
        <f>E82+E83-E84</f>
        <v>40365</v>
      </c>
    </row>
    <row r="86" spans="1:5" ht="14.4" thickTop="1" x14ac:dyDescent="0.25">
      <c r="A86" s="560"/>
      <c r="B86" s="655"/>
      <c r="C86" s="663" t="s">
        <v>1629</v>
      </c>
      <c r="D86" s="739"/>
      <c r="E86" s="676"/>
    </row>
    <row r="87" spans="1:5" x14ac:dyDescent="0.25">
      <c r="A87" s="560"/>
      <c r="B87" s="655"/>
      <c r="C87" s="560" t="s">
        <v>1630</v>
      </c>
      <c r="D87" s="739"/>
      <c r="E87" s="676"/>
    </row>
    <row r="88" spans="1:5" x14ac:dyDescent="0.25">
      <c r="A88" s="560"/>
      <c r="B88" s="655"/>
      <c r="C88" s="560" t="s">
        <v>1631</v>
      </c>
      <c r="D88" s="739"/>
      <c r="E88" s="676"/>
    </row>
    <row r="89" spans="1:5" x14ac:dyDescent="0.25">
      <c r="A89" s="560"/>
      <c r="B89" s="655"/>
      <c r="C89" s="560" t="s">
        <v>1632</v>
      </c>
      <c r="D89" s="739"/>
      <c r="E89" s="676"/>
    </row>
    <row r="90" spans="1:5" x14ac:dyDescent="0.25">
      <c r="A90" s="560"/>
      <c r="B90" s="655"/>
      <c r="C90" s="560" t="s">
        <v>1633</v>
      </c>
      <c r="D90" s="739"/>
      <c r="E90" s="676"/>
    </row>
    <row r="91" spans="1:5" x14ac:dyDescent="0.25">
      <c r="A91" s="560"/>
      <c r="B91" s="655"/>
      <c r="C91" s="560" t="s">
        <v>267</v>
      </c>
      <c r="D91" s="739"/>
      <c r="E91" s="676"/>
    </row>
    <row r="92" spans="1:5" ht="14.4" thickBot="1" x14ac:dyDescent="0.3">
      <c r="A92" s="560"/>
      <c r="B92" s="655"/>
      <c r="C92" s="647" t="s">
        <v>1636</v>
      </c>
      <c r="D92" s="740">
        <f>SUM(D88:D91)</f>
        <v>0</v>
      </c>
      <c r="E92" s="741"/>
    </row>
    <row r="93" spans="1:5" ht="14.4" thickTop="1" x14ac:dyDescent="0.25">
      <c r="A93" s="560"/>
      <c r="B93" s="655"/>
      <c r="C93" s="663" t="s">
        <v>1634</v>
      </c>
      <c r="D93" s="739"/>
      <c r="E93" s="676"/>
    </row>
    <row r="94" spans="1:5" x14ac:dyDescent="0.25">
      <c r="A94" s="560"/>
      <c r="B94" s="655"/>
      <c r="C94" s="560" t="s">
        <v>1826</v>
      </c>
      <c r="D94" s="739">
        <f>DTLDFA!B14</f>
        <v>0</v>
      </c>
      <c r="E94" s="739">
        <f>DTLDFA!C14</f>
        <v>0</v>
      </c>
    </row>
    <row r="95" spans="1:5" x14ac:dyDescent="0.25">
      <c r="A95" s="560"/>
      <c r="B95" s="655"/>
      <c r="C95" s="560" t="s">
        <v>267</v>
      </c>
      <c r="D95" s="739"/>
      <c r="E95" s="676"/>
    </row>
    <row r="96" spans="1:5" ht="14.4" thickBot="1" x14ac:dyDescent="0.3">
      <c r="A96" s="560"/>
      <c r="B96" s="655"/>
      <c r="C96" s="647" t="s">
        <v>1637</v>
      </c>
      <c r="D96" s="742">
        <f>SUM(D94:D95)</f>
        <v>0</v>
      </c>
      <c r="E96" s="742">
        <f>SUM(E94:E95)</f>
        <v>0</v>
      </c>
    </row>
    <row r="97" spans="1:5" s="626" customFormat="1" ht="15" thickTop="1" thickBot="1" x14ac:dyDescent="0.3">
      <c r="A97" s="663"/>
      <c r="B97" s="680"/>
      <c r="C97" s="681" t="s">
        <v>1635</v>
      </c>
      <c r="D97" s="743">
        <f>D92-D96</f>
        <v>0</v>
      </c>
      <c r="E97" s="743">
        <f>E92-E96</f>
        <v>0</v>
      </c>
    </row>
    <row r="98" spans="1:5" ht="14.4" thickTop="1" x14ac:dyDescent="0.25">
      <c r="A98" s="560"/>
      <c r="B98" s="560"/>
      <c r="C98" s="560"/>
    </row>
    <row r="99" spans="1:5" x14ac:dyDescent="0.25">
      <c r="A99" s="560"/>
      <c r="B99" s="646" t="s">
        <v>1720</v>
      </c>
      <c r="C99" s="626" t="s">
        <v>1680</v>
      </c>
      <c r="D99" s="744"/>
      <c r="E99" s="744"/>
    </row>
    <row r="100" spans="1:5" x14ac:dyDescent="0.25">
      <c r="A100" s="560"/>
      <c r="B100" s="560"/>
      <c r="C100" s="615"/>
      <c r="D100" s="744"/>
      <c r="E100" s="719" t="s">
        <v>341</v>
      </c>
    </row>
    <row r="101" spans="1:5" ht="27.6" x14ac:dyDescent="0.25">
      <c r="A101" s="560"/>
      <c r="B101" s="651"/>
      <c r="C101" s="715" t="s">
        <v>215</v>
      </c>
      <c r="D101" s="745" t="s">
        <v>1667</v>
      </c>
      <c r="E101" s="745" t="s">
        <v>1668</v>
      </c>
    </row>
    <row r="102" spans="1:5" x14ac:dyDescent="0.25">
      <c r="A102" s="560"/>
      <c r="B102" s="655"/>
      <c r="C102" s="589" t="s">
        <v>1669</v>
      </c>
      <c r="D102" s="746"/>
      <c r="E102" s="747"/>
    </row>
    <row r="103" spans="1:5" x14ac:dyDescent="0.25">
      <c r="A103" s="560"/>
      <c r="B103" s="655"/>
      <c r="C103" s="590" t="s">
        <v>1670</v>
      </c>
      <c r="D103" s="748">
        <v>0</v>
      </c>
      <c r="E103" s="749">
        <v>0</v>
      </c>
    </row>
    <row r="104" spans="1:5" x14ac:dyDescent="0.25">
      <c r="A104" s="560"/>
      <c r="B104" s="655"/>
      <c r="C104" s="590" t="s">
        <v>1671</v>
      </c>
      <c r="D104" s="746">
        <v>0</v>
      </c>
      <c r="E104" s="747">
        <v>0</v>
      </c>
    </row>
    <row r="105" spans="1:5" x14ac:dyDescent="0.25">
      <c r="A105" s="560"/>
      <c r="B105" s="655"/>
      <c r="C105" s="717" t="s">
        <v>1681</v>
      </c>
      <c r="D105" s="748">
        <v>0</v>
      </c>
      <c r="E105" s="749">
        <v>0</v>
      </c>
    </row>
    <row r="106" spans="1:5" x14ac:dyDescent="0.25">
      <c r="A106" s="560"/>
      <c r="B106" s="655"/>
      <c r="C106" s="716" t="s">
        <v>1682</v>
      </c>
      <c r="D106" s="748">
        <v>3359223</v>
      </c>
      <c r="E106" s="748">
        <v>3359223</v>
      </c>
    </row>
    <row r="107" spans="1:5" x14ac:dyDescent="0.25">
      <c r="A107" s="560"/>
      <c r="B107" s="655"/>
      <c r="C107" s="716" t="s">
        <v>1672</v>
      </c>
      <c r="D107" s="748">
        <v>0</v>
      </c>
      <c r="E107" s="749">
        <v>0</v>
      </c>
    </row>
    <row r="108" spans="1:5" x14ac:dyDescent="0.25">
      <c r="A108" s="560"/>
      <c r="B108" s="655"/>
      <c r="C108" s="716" t="s">
        <v>1673</v>
      </c>
      <c r="D108" s="748">
        <v>0</v>
      </c>
      <c r="E108" s="749">
        <v>0</v>
      </c>
    </row>
    <row r="109" spans="1:5" x14ac:dyDescent="0.25">
      <c r="A109" s="560"/>
      <c r="B109" s="655"/>
      <c r="C109" s="590" t="s">
        <v>1674</v>
      </c>
      <c r="D109" s="748">
        <v>0</v>
      </c>
      <c r="E109" s="749">
        <v>0</v>
      </c>
    </row>
    <row r="110" spans="1:5" s="626" customFormat="1" ht="14.4" thickBot="1" x14ac:dyDescent="0.3">
      <c r="A110" s="663"/>
      <c r="B110" s="781"/>
      <c r="C110" s="589" t="s">
        <v>1675</v>
      </c>
      <c r="D110" s="782">
        <f>SUM(D103:D109)</f>
        <v>3359223</v>
      </c>
      <c r="E110" s="782">
        <f>SUM(E103:E109)</f>
        <v>3359223</v>
      </c>
    </row>
    <row r="111" spans="1:5" ht="14.4" thickTop="1" x14ac:dyDescent="0.25">
      <c r="A111" s="560"/>
      <c r="B111" s="655"/>
      <c r="C111" s="589" t="s">
        <v>1676</v>
      </c>
      <c r="D111" s="748"/>
      <c r="E111" s="749"/>
    </row>
    <row r="112" spans="1:5" x14ac:dyDescent="0.25">
      <c r="A112" s="560"/>
      <c r="B112" s="655"/>
      <c r="C112" s="589" t="s">
        <v>1714</v>
      </c>
      <c r="D112" s="748">
        <v>0</v>
      </c>
      <c r="E112" s="749">
        <v>0</v>
      </c>
    </row>
    <row r="113" spans="1:5" x14ac:dyDescent="0.25">
      <c r="A113" s="560"/>
      <c r="B113" s="655"/>
      <c r="C113" s="590" t="s">
        <v>1712</v>
      </c>
      <c r="D113" s="676">
        <f>+'Final tb'!B33</f>
        <v>14349200</v>
      </c>
      <c r="E113" s="676">
        <v>9349200</v>
      </c>
    </row>
    <row r="114" spans="1:5" x14ac:dyDescent="0.25">
      <c r="A114" s="560"/>
      <c r="B114" s="655"/>
      <c r="C114" s="717" t="s">
        <v>1719</v>
      </c>
      <c r="D114" s="748">
        <v>0</v>
      </c>
      <c r="E114" s="749">
        <v>0</v>
      </c>
    </row>
    <row r="115" spans="1:5" x14ac:dyDescent="0.25">
      <c r="A115" s="560"/>
      <c r="B115" s="655"/>
      <c r="C115" s="590" t="s">
        <v>1715</v>
      </c>
      <c r="D115" s="676">
        <f>+'Final tb'!B32</f>
        <v>6339337</v>
      </c>
      <c r="E115" s="689">
        <v>6339337</v>
      </c>
    </row>
    <row r="116" spans="1:5" x14ac:dyDescent="0.25">
      <c r="A116" s="560"/>
      <c r="B116" s="655"/>
      <c r="C116" s="590" t="s">
        <v>1677</v>
      </c>
      <c r="D116" s="676">
        <v>0</v>
      </c>
      <c r="E116" s="749">
        <v>0</v>
      </c>
    </row>
    <row r="117" spans="1:5" x14ac:dyDescent="0.25">
      <c r="A117" s="560"/>
      <c r="B117" s="655"/>
      <c r="C117" s="590" t="s">
        <v>1678</v>
      </c>
      <c r="D117" s="748">
        <v>0</v>
      </c>
      <c r="E117" s="749">
        <v>0</v>
      </c>
    </row>
    <row r="118" spans="1:5" x14ac:dyDescent="0.25">
      <c r="A118" s="560"/>
      <c r="B118" s="655"/>
      <c r="C118" s="717" t="s">
        <v>1716</v>
      </c>
      <c r="D118" s="748">
        <v>0</v>
      </c>
      <c r="E118" s="749">
        <v>0</v>
      </c>
    </row>
    <row r="119" spans="1:5" x14ac:dyDescent="0.25">
      <c r="A119" s="560"/>
      <c r="B119" s="655"/>
      <c r="C119" s="590" t="s">
        <v>1717</v>
      </c>
      <c r="D119" s="676">
        <f>+'Final tb'!B38</f>
        <v>598755.5</v>
      </c>
      <c r="E119" s="676">
        <v>8820</v>
      </c>
    </row>
    <row r="120" spans="1:5" x14ac:dyDescent="0.25">
      <c r="A120" s="560"/>
      <c r="B120" s="655"/>
      <c r="C120" s="590" t="s">
        <v>1718</v>
      </c>
      <c r="D120" s="676">
        <f>+'Final tb'!B30</f>
        <v>338020</v>
      </c>
      <c r="E120" s="676">
        <v>363282</v>
      </c>
    </row>
    <row r="121" spans="1:5" ht="14.4" thickBot="1" x14ac:dyDescent="0.3">
      <c r="A121" s="560"/>
      <c r="B121" s="687"/>
      <c r="C121" s="591" t="s">
        <v>1679</v>
      </c>
      <c r="D121" s="750">
        <f>SUM(D112:D120)</f>
        <v>21625312.5</v>
      </c>
      <c r="E121" s="750">
        <f>SUM(E112:E120)</f>
        <v>16060639</v>
      </c>
    </row>
    <row r="122" spans="1:5" ht="14.4" thickTop="1" x14ac:dyDescent="0.25">
      <c r="A122" s="560"/>
      <c r="B122" s="560"/>
      <c r="C122" s="560"/>
    </row>
    <row r="123" spans="1:5" x14ac:dyDescent="0.25">
      <c r="A123" s="560"/>
      <c r="B123" s="679" t="s">
        <v>1689</v>
      </c>
      <c r="C123" s="679" t="s">
        <v>220</v>
      </c>
      <c r="D123" s="751"/>
      <c r="E123" s="719" t="s">
        <v>341</v>
      </c>
    </row>
    <row r="124" spans="1:5" ht="27.6" x14ac:dyDescent="0.25">
      <c r="A124" s="560"/>
      <c r="B124" s="651"/>
      <c r="C124" s="774" t="s">
        <v>215</v>
      </c>
      <c r="D124" s="721" t="str">
        <f>D101</f>
        <v>As at 31st March 2020</v>
      </c>
      <c r="E124" s="721" t="str">
        <f>E101</f>
        <v>As at 31st March 2019</v>
      </c>
    </row>
    <row r="125" spans="1:5" x14ac:dyDescent="0.25">
      <c r="A125" s="560"/>
      <c r="B125" s="655"/>
      <c r="C125" s="685" t="s">
        <v>262</v>
      </c>
      <c r="D125" s="755">
        <f>+'Final tb'!B14</f>
        <v>6459699</v>
      </c>
      <c r="E125" s="756">
        <v>5131101</v>
      </c>
    </row>
    <row r="126" spans="1:5" x14ac:dyDescent="0.25">
      <c r="A126" s="560"/>
      <c r="B126" s="655"/>
      <c r="C126" s="685" t="s">
        <v>263</v>
      </c>
      <c r="D126" s="755">
        <f>+'Final tb'!B13</f>
        <v>7516800</v>
      </c>
      <c r="E126" s="756">
        <v>3403484</v>
      </c>
    </row>
    <row r="127" spans="1:5" x14ac:dyDescent="0.25">
      <c r="A127" s="560"/>
      <c r="B127" s="655"/>
      <c r="C127" s="685" t="s">
        <v>264</v>
      </c>
      <c r="D127" s="755">
        <f>+'Final tb'!B15</f>
        <v>9203852</v>
      </c>
      <c r="E127" s="756">
        <v>6560286</v>
      </c>
    </row>
    <row r="128" spans="1:5" x14ac:dyDescent="0.25">
      <c r="A128" s="560"/>
      <c r="B128" s="655"/>
      <c r="C128" s="685" t="s">
        <v>265</v>
      </c>
      <c r="D128" s="755">
        <f>+'Final tb'!B16</f>
        <v>13666074</v>
      </c>
      <c r="E128" s="756">
        <v>12380247</v>
      </c>
    </row>
    <row r="129" spans="1:9" x14ac:dyDescent="0.25">
      <c r="A129" s="560"/>
      <c r="B129" s="655"/>
      <c r="C129" s="685" t="s">
        <v>1336</v>
      </c>
      <c r="D129" s="755">
        <f>+'Final tb'!B17</f>
        <v>280045</v>
      </c>
      <c r="E129" s="756">
        <v>257980</v>
      </c>
      <c r="G129" s="686"/>
      <c r="I129" s="559"/>
    </row>
    <row r="130" spans="1:9" x14ac:dyDescent="0.25">
      <c r="A130" s="560"/>
      <c r="B130" s="655"/>
      <c r="C130" s="685" t="s">
        <v>1684</v>
      </c>
      <c r="D130" s="755">
        <v>0</v>
      </c>
      <c r="E130" s="756">
        <v>0</v>
      </c>
      <c r="G130" s="686"/>
      <c r="I130" s="559"/>
    </row>
    <row r="131" spans="1:9" ht="14.4" thickBot="1" x14ac:dyDescent="0.3">
      <c r="A131" s="560"/>
      <c r="B131" s="687"/>
      <c r="C131" s="768" t="s">
        <v>1683</v>
      </c>
      <c r="D131" s="733">
        <f>SUM(D125:D129)</f>
        <v>37126470</v>
      </c>
      <c r="E131" s="733">
        <f>SUM(E125:E130)</f>
        <v>27733098</v>
      </c>
      <c r="F131" s="552"/>
      <c r="G131" s="686"/>
      <c r="I131" s="688"/>
    </row>
    <row r="132" spans="1:9" ht="14.4" thickTop="1" x14ac:dyDescent="0.25">
      <c r="A132" s="560"/>
      <c r="B132" s="560"/>
      <c r="C132" s="560"/>
    </row>
    <row r="133" spans="1:9" x14ac:dyDescent="0.25">
      <c r="A133" s="560"/>
      <c r="B133" s="663" t="s">
        <v>1685</v>
      </c>
      <c r="C133" s="560" t="s">
        <v>1686</v>
      </c>
    </row>
    <row r="134" spans="1:9" ht="27.6" x14ac:dyDescent="0.25">
      <c r="A134" s="560"/>
      <c r="B134" s="651"/>
      <c r="C134" s="682"/>
      <c r="D134" s="721" t="s">
        <v>1687</v>
      </c>
      <c r="E134" s="721" t="s">
        <v>1688</v>
      </c>
    </row>
    <row r="135" spans="1:9" x14ac:dyDescent="0.25">
      <c r="A135" s="560"/>
      <c r="B135" s="655"/>
      <c r="C135" s="769" t="s">
        <v>1667</v>
      </c>
      <c r="D135" s="735"/>
      <c r="E135" s="727"/>
    </row>
    <row r="136" spans="1:9" x14ac:dyDescent="0.25">
      <c r="A136" s="560"/>
      <c r="B136" s="655"/>
      <c r="C136" s="685" t="s">
        <v>262</v>
      </c>
      <c r="D136" s="755"/>
      <c r="E136" s="756"/>
    </row>
    <row r="137" spans="1:9" x14ac:dyDescent="0.25">
      <c r="A137" s="560"/>
      <c r="B137" s="655"/>
      <c r="C137" s="685" t="s">
        <v>264</v>
      </c>
      <c r="D137" s="755"/>
      <c r="E137" s="756"/>
    </row>
    <row r="138" spans="1:9" x14ac:dyDescent="0.25">
      <c r="A138" s="560"/>
      <c r="B138" s="655"/>
      <c r="C138" s="685" t="s">
        <v>265</v>
      </c>
      <c r="D138" s="755"/>
      <c r="E138" s="756"/>
    </row>
    <row r="139" spans="1:9" x14ac:dyDescent="0.25">
      <c r="A139" s="560"/>
      <c r="B139" s="655"/>
      <c r="C139" s="770" t="s">
        <v>1668</v>
      </c>
      <c r="D139" s="755"/>
      <c r="E139" s="756"/>
    </row>
    <row r="140" spans="1:9" x14ac:dyDescent="0.25">
      <c r="A140" s="560"/>
      <c r="B140" s="655"/>
      <c r="C140" s="685" t="s">
        <v>262</v>
      </c>
      <c r="D140" s="755"/>
      <c r="E140" s="756"/>
    </row>
    <row r="141" spans="1:9" x14ac:dyDescent="0.25">
      <c r="A141" s="560"/>
      <c r="B141" s="655"/>
      <c r="C141" s="685" t="s">
        <v>264</v>
      </c>
      <c r="D141" s="755"/>
      <c r="E141" s="756"/>
    </row>
    <row r="142" spans="1:9" x14ac:dyDescent="0.25">
      <c r="A142" s="560"/>
      <c r="B142" s="655"/>
      <c r="C142" s="685" t="s">
        <v>265</v>
      </c>
      <c r="D142" s="755"/>
      <c r="E142" s="756"/>
    </row>
    <row r="143" spans="1:9" ht="14.4" thickBot="1" x14ac:dyDescent="0.3">
      <c r="A143" s="560"/>
      <c r="B143" s="687"/>
      <c r="C143" s="768" t="s">
        <v>1683</v>
      </c>
      <c r="D143" s="733">
        <f>SUM(D136:D138)</f>
        <v>0</v>
      </c>
      <c r="E143" s="733">
        <f>SUM(E136:E138)</f>
        <v>0</v>
      </c>
    </row>
    <row r="144" spans="1:9" ht="14.4" thickTop="1" x14ac:dyDescent="0.25">
      <c r="A144" s="560"/>
      <c r="B144" s="560"/>
      <c r="C144" s="560"/>
      <c r="D144" s="757"/>
      <c r="E144" s="757"/>
    </row>
    <row r="145" spans="1:5" x14ac:dyDescent="0.25">
      <c r="A145" s="560"/>
      <c r="B145" s="679" t="s">
        <v>1690</v>
      </c>
      <c r="C145" s="679" t="s">
        <v>1580</v>
      </c>
      <c r="D145" s="757"/>
      <c r="E145" s="719" t="s">
        <v>341</v>
      </c>
    </row>
    <row r="146" spans="1:5" ht="27.6" x14ac:dyDescent="0.25">
      <c r="A146" s="560"/>
      <c r="B146" s="671"/>
      <c r="C146" s="771"/>
      <c r="D146" s="721" t="str">
        <f>D124</f>
        <v>As at 31st March 2020</v>
      </c>
      <c r="E146" s="721" t="str">
        <f>E124</f>
        <v>As at 31st March 2019</v>
      </c>
    </row>
    <row r="147" spans="1:5" x14ac:dyDescent="0.25">
      <c r="A147" s="560"/>
      <c r="B147" s="558"/>
      <c r="C147" s="663" t="s">
        <v>1693</v>
      </c>
      <c r="D147" s="676"/>
      <c r="E147" s="676"/>
    </row>
    <row r="148" spans="1:5" x14ac:dyDescent="0.25">
      <c r="A148" s="560"/>
      <c r="B148" s="558"/>
      <c r="C148" s="772" t="s">
        <v>1691</v>
      </c>
      <c r="D148" s="676"/>
      <c r="E148" s="676"/>
    </row>
    <row r="149" spans="1:5" x14ac:dyDescent="0.25">
      <c r="A149" s="560"/>
      <c r="B149" s="558"/>
      <c r="C149" s="772" t="s">
        <v>1692</v>
      </c>
      <c r="D149" s="676"/>
      <c r="E149" s="676"/>
    </row>
    <row r="150" spans="1:5" x14ac:dyDescent="0.25">
      <c r="A150" s="560"/>
      <c r="B150" s="558"/>
      <c r="C150" s="663" t="s">
        <v>1694</v>
      </c>
      <c r="D150" s="676"/>
      <c r="E150" s="676"/>
    </row>
    <row r="151" spans="1:5" x14ac:dyDescent="0.25">
      <c r="A151" s="560"/>
      <c r="B151" s="558"/>
      <c r="C151" s="772" t="s">
        <v>1691</v>
      </c>
      <c r="D151" s="676"/>
      <c r="E151" s="676"/>
    </row>
    <row r="152" spans="1:5" x14ac:dyDescent="0.25">
      <c r="A152" s="560"/>
      <c r="B152" s="558"/>
      <c r="C152" s="772" t="s">
        <v>1692</v>
      </c>
      <c r="D152" s="676">
        <f>+'Final tb'!B18</f>
        <v>5010221.7100000009</v>
      </c>
      <c r="E152" s="676">
        <f>1923623+1545458</f>
        <v>3469081</v>
      </c>
    </row>
    <row r="153" spans="1:5" s="626" customFormat="1" x14ac:dyDescent="0.25">
      <c r="A153" s="663"/>
      <c r="B153" s="557"/>
      <c r="C153" s="850" t="s">
        <v>1695</v>
      </c>
      <c r="D153" s="551"/>
      <c r="E153" s="551"/>
    </row>
    <row r="154" spans="1:5" x14ac:dyDescent="0.25">
      <c r="A154" s="560"/>
      <c r="B154" s="558"/>
      <c r="C154" s="772" t="s">
        <v>1691</v>
      </c>
      <c r="D154" s="676">
        <v>0</v>
      </c>
      <c r="E154" s="676">
        <v>0</v>
      </c>
    </row>
    <row r="155" spans="1:5" x14ac:dyDescent="0.25">
      <c r="A155" s="560"/>
      <c r="B155" s="558"/>
      <c r="C155" s="772" t="s">
        <v>1692</v>
      </c>
      <c r="D155" s="676">
        <v>0</v>
      </c>
      <c r="E155" s="676">
        <v>0</v>
      </c>
    </row>
    <row r="156" spans="1:5" x14ac:dyDescent="0.25">
      <c r="A156" s="560"/>
      <c r="B156" s="558"/>
      <c r="C156" s="772" t="s">
        <v>1696</v>
      </c>
      <c r="D156" s="676">
        <v>0</v>
      </c>
      <c r="E156" s="676">
        <v>0</v>
      </c>
    </row>
    <row r="157" spans="1:5" ht="14.4" thickBot="1" x14ac:dyDescent="0.3">
      <c r="A157" s="560"/>
      <c r="B157" s="678"/>
      <c r="C157" s="714" t="s">
        <v>1584</v>
      </c>
      <c r="D157" s="733">
        <f>SUM(D148:D156)</f>
        <v>5010221.7100000009</v>
      </c>
      <c r="E157" s="733">
        <f>SUM(E148:E156)</f>
        <v>3469081</v>
      </c>
    </row>
    <row r="158" spans="1:5" ht="14.4" thickTop="1" x14ac:dyDescent="0.25">
      <c r="A158" s="560"/>
      <c r="B158" s="560"/>
      <c r="C158" s="560"/>
    </row>
    <row r="159" spans="1:5" x14ac:dyDescent="0.25">
      <c r="A159" s="560"/>
      <c r="B159" s="679" t="s">
        <v>1704</v>
      </c>
      <c r="C159" s="679" t="s">
        <v>1700</v>
      </c>
      <c r="D159" s="751"/>
      <c r="E159" s="719" t="s">
        <v>341</v>
      </c>
    </row>
    <row r="160" spans="1:5" ht="27.6" x14ac:dyDescent="0.25">
      <c r="A160" s="560"/>
      <c r="B160" s="651"/>
      <c r="C160" s="682"/>
      <c r="D160" s="721" t="str">
        <f>D146</f>
        <v>As at 31st March 2020</v>
      </c>
      <c r="E160" s="721" t="str">
        <f>E146</f>
        <v>As at 31st March 2019</v>
      </c>
    </row>
    <row r="161" spans="1:5" x14ac:dyDescent="0.25">
      <c r="A161" s="560"/>
      <c r="B161" s="655"/>
      <c r="C161" s="590" t="s">
        <v>1697</v>
      </c>
      <c r="D161" s="753">
        <f>D180</f>
        <v>75136.409999999989</v>
      </c>
      <c r="E161" s="753">
        <f>E180</f>
        <v>512575</v>
      </c>
    </row>
    <row r="162" spans="1:5" x14ac:dyDescent="0.25">
      <c r="A162" s="560"/>
      <c r="B162" s="655"/>
      <c r="C162" s="590" t="s">
        <v>1698</v>
      </c>
      <c r="D162" s="851">
        <v>0</v>
      </c>
      <c r="E162" s="851">
        <v>0</v>
      </c>
    </row>
    <row r="163" spans="1:5" ht="14.4" thickBot="1" x14ac:dyDescent="0.3">
      <c r="A163" s="560"/>
      <c r="B163" s="687"/>
      <c r="C163" s="591" t="s">
        <v>1699</v>
      </c>
      <c r="D163" s="773">
        <f>SUM(D161:D162)</f>
        <v>75136.409999999989</v>
      </c>
      <c r="E163" s="773">
        <f>SUM(E161:E162)</f>
        <v>512575</v>
      </c>
    </row>
    <row r="164" spans="1:5" ht="14.4" thickTop="1" x14ac:dyDescent="0.25">
      <c r="A164" s="560"/>
      <c r="B164" s="560"/>
      <c r="C164" s="589"/>
      <c r="D164" s="775"/>
      <c r="E164" s="775"/>
    </row>
    <row r="165" spans="1:5" x14ac:dyDescent="0.25">
      <c r="A165" s="560"/>
      <c r="B165" s="679" t="s">
        <v>1711</v>
      </c>
      <c r="C165" s="679" t="s">
        <v>1700</v>
      </c>
      <c r="D165" s="751"/>
      <c r="E165" s="719" t="s">
        <v>341</v>
      </c>
    </row>
    <row r="166" spans="1:5" ht="27.6" x14ac:dyDescent="0.25">
      <c r="A166" s="560"/>
      <c r="B166" s="651"/>
      <c r="C166" s="682"/>
      <c r="D166" s="721" t="str">
        <f>D160</f>
        <v>As at 31st March 2020</v>
      </c>
      <c r="E166" s="721" t="str">
        <f>E160</f>
        <v>As at 31st March 2019</v>
      </c>
    </row>
    <row r="167" spans="1:5" x14ac:dyDescent="0.25">
      <c r="A167" s="560"/>
      <c r="B167" s="655"/>
      <c r="C167" s="589" t="s">
        <v>1701</v>
      </c>
      <c r="D167" s="753"/>
      <c r="E167" s="753"/>
    </row>
    <row r="168" spans="1:5" x14ac:dyDescent="0.25">
      <c r="A168" s="560"/>
      <c r="B168" s="655"/>
      <c r="C168" s="717" t="s">
        <v>1705</v>
      </c>
      <c r="D168" s="753"/>
      <c r="E168" s="753"/>
    </row>
    <row r="169" spans="1:5" x14ac:dyDescent="0.25">
      <c r="A169" s="560"/>
      <c r="B169" s="655"/>
      <c r="C169" s="683" t="s">
        <v>629</v>
      </c>
      <c r="D169" s="676">
        <f>+'Final tb'!B19</f>
        <v>632.47</v>
      </c>
      <c r="E169" s="676">
        <v>7550</v>
      </c>
    </row>
    <row r="170" spans="1:5" x14ac:dyDescent="0.25">
      <c r="A170" s="560"/>
      <c r="B170" s="655"/>
      <c r="C170" s="683" t="s">
        <v>630</v>
      </c>
      <c r="D170" s="676">
        <f>+'Final tb'!B20</f>
        <v>10454.35</v>
      </c>
      <c r="E170" s="676">
        <v>10454</v>
      </c>
    </row>
    <row r="171" spans="1:5" x14ac:dyDescent="0.25">
      <c r="A171" s="560"/>
      <c r="B171" s="655"/>
      <c r="C171" s="683" t="s">
        <v>1332</v>
      </c>
      <c r="D171" s="676">
        <f>+'Final tb'!B21</f>
        <v>53923.74</v>
      </c>
      <c r="E171" s="676">
        <v>464611</v>
      </c>
    </row>
    <row r="172" spans="1:5" x14ac:dyDescent="0.25">
      <c r="A172" s="560"/>
      <c r="B172" s="655"/>
      <c r="C172" s="683" t="s">
        <v>1333</v>
      </c>
      <c r="D172" s="676">
        <f>+'Final tb'!B22</f>
        <v>-25544</v>
      </c>
      <c r="E172" s="676">
        <v>0</v>
      </c>
    </row>
    <row r="173" spans="1:5" x14ac:dyDescent="0.25">
      <c r="A173" s="560"/>
      <c r="B173" s="655"/>
      <c r="C173" s="683" t="s">
        <v>631</v>
      </c>
      <c r="D173" s="676">
        <f>+'Final tb'!B23</f>
        <v>-78017.820000000007</v>
      </c>
      <c r="E173" s="676">
        <v>-78018</v>
      </c>
    </row>
    <row r="174" spans="1:5" x14ac:dyDescent="0.25">
      <c r="A174" s="560"/>
      <c r="B174" s="655"/>
      <c r="C174" s="683" t="s">
        <v>632</v>
      </c>
      <c r="D174" s="676">
        <f>+'Final tb'!B24</f>
        <v>78511</v>
      </c>
      <c r="E174" s="676">
        <v>78511</v>
      </c>
    </row>
    <row r="175" spans="1:5" x14ac:dyDescent="0.25">
      <c r="A175" s="560"/>
      <c r="B175" s="655"/>
      <c r="C175" s="683" t="s">
        <v>1334</v>
      </c>
      <c r="D175" s="676">
        <f>+'Final tb'!B25</f>
        <v>24911</v>
      </c>
      <c r="E175" s="676">
        <v>24911</v>
      </c>
    </row>
    <row r="176" spans="1:5" x14ac:dyDescent="0.25">
      <c r="A176" s="560"/>
      <c r="B176" s="655"/>
      <c r="C176" s="684" t="s">
        <v>1335</v>
      </c>
      <c r="D176" s="676">
        <f>+'Final tb'!B26</f>
        <v>5500</v>
      </c>
      <c r="E176" s="676">
        <v>0</v>
      </c>
    </row>
    <row r="177" spans="1:5" x14ac:dyDescent="0.25">
      <c r="A177" s="560"/>
      <c r="B177" s="655"/>
      <c r="C177" s="590" t="s">
        <v>1702</v>
      </c>
      <c r="D177" s="753">
        <v>0</v>
      </c>
      <c r="E177" s="753">
        <v>0</v>
      </c>
    </row>
    <row r="178" spans="1:5" x14ac:dyDescent="0.25">
      <c r="A178" s="560"/>
      <c r="B178" s="655"/>
      <c r="C178" s="590" t="s">
        <v>1703</v>
      </c>
      <c r="D178" s="753">
        <v>0</v>
      </c>
      <c r="E178" s="753">
        <v>0</v>
      </c>
    </row>
    <row r="179" spans="1:5" x14ac:dyDescent="0.25">
      <c r="A179" s="560"/>
      <c r="B179" s="655"/>
      <c r="C179" s="590" t="s">
        <v>266</v>
      </c>
      <c r="D179" s="676">
        <f>+'Final tb'!B27+3</f>
        <v>4765.67</v>
      </c>
      <c r="E179" s="676">
        <v>4556</v>
      </c>
    </row>
    <row r="180" spans="1:5" ht="14.4" thickBot="1" x14ac:dyDescent="0.3">
      <c r="A180" s="560"/>
      <c r="B180" s="655"/>
      <c r="C180" s="776" t="s">
        <v>1699</v>
      </c>
      <c r="D180" s="773">
        <f>SUM(D168:D179)</f>
        <v>75136.409999999989</v>
      </c>
      <c r="E180" s="773">
        <f>SUM(E168:E179)</f>
        <v>512575</v>
      </c>
    </row>
    <row r="181" spans="1:5" ht="14.4" thickTop="1" x14ac:dyDescent="0.25">
      <c r="A181" s="560"/>
      <c r="B181" s="779" t="s">
        <v>1541</v>
      </c>
      <c r="C181" s="778"/>
      <c r="D181" s="775"/>
      <c r="E181" s="754"/>
    </row>
    <row r="182" spans="1:5" ht="68.25" customHeight="1" x14ac:dyDescent="0.25">
      <c r="A182" s="560"/>
      <c r="B182" s="2040" t="s">
        <v>1763</v>
      </c>
      <c r="C182" s="2041"/>
      <c r="D182" s="2041"/>
      <c r="E182" s="2042"/>
    </row>
    <row r="183" spans="1:5" x14ac:dyDescent="0.25">
      <c r="A183" s="560"/>
      <c r="B183" s="780"/>
      <c r="C183" s="780"/>
      <c r="D183" s="780"/>
      <c r="E183" s="780"/>
    </row>
    <row r="184" spans="1:5" x14ac:dyDescent="0.25">
      <c r="A184" s="690"/>
      <c r="B184" s="690"/>
      <c r="C184" s="690"/>
      <c r="D184" s="758"/>
      <c r="E184" s="758"/>
    </row>
    <row r="185" spans="1:5" x14ac:dyDescent="0.25">
      <c r="A185" s="560"/>
      <c r="B185" s="663" t="s">
        <v>1706</v>
      </c>
      <c r="C185" s="589" t="s">
        <v>1707</v>
      </c>
      <c r="D185" s="775"/>
      <c r="E185" s="775"/>
    </row>
    <row r="186" spans="1:5" ht="27.6" x14ac:dyDescent="0.25">
      <c r="A186" s="560"/>
      <c r="B186" s="651"/>
      <c r="C186" s="652"/>
      <c r="D186" s="721" t="str">
        <f>D166</f>
        <v>As at 31st March 2020</v>
      </c>
      <c r="E186" s="734" t="str">
        <f>E166</f>
        <v>As at 31st March 2019</v>
      </c>
    </row>
    <row r="187" spans="1:5" x14ac:dyDescent="0.25">
      <c r="A187" s="560"/>
      <c r="B187" s="655"/>
      <c r="C187" s="777" t="s">
        <v>1709</v>
      </c>
      <c r="D187" s="727"/>
      <c r="E187" s="735"/>
    </row>
    <row r="188" spans="1:5" x14ac:dyDescent="0.25">
      <c r="A188" s="560"/>
      <c r="B188" s="655"/>
      <c r="C188" s="590" t="s">
        <v>1708</v>
      </c>
      <c r="D188" s="753"/>
      <c r="E188" s="754"/>
    </row>
    <row r="189" spans="1:5" x14ac:dyDescent="0.25">
      <c r="A189" s="560"/>
      <c r="B189" s="655"/>
      <c r="C189" s="590" t="s">
        <v>267</v>
      </c>
      <c r="D189" s="753"/>
      <c r="E189" s="754"/>
    </row>
    <row r="190" spans="1:5" x14ac:dyDescent="0.25">
      <c r="A190" s="560"/>
      <c r="B190" s="655"/>
      <c r="C190" s="589"/>
      <c r="D190" s="753"/>
      <c r="E190" s="754"/>
    </row>
    <row r="191" spans="1:5" ht="14.4" thickBot="1" x14ac:dyDescent="0.3">
      <c r="A191" s="560"/>
      <c r="B191" s="687"/>
      <c r="C191" s="591" t="s">
        <v>1710</v>
      </c>
      <c r="D191" s="773">
        <f>SUM(D187:D190)</f>
        <v>0</v>
      </c>
      <c r="E191" s="773">
        <f>SUM(E187:E190)</f>
        <v>0</v>
      </c>
    </row>
    <row r="192" spans="1:5" ht="14.4" thickTop="1" x14ac:dyDescent="0.25">
      <c r="A192" s="690"/>
      <c r="B192" s="690"/>
      <c r="C192" s="690"/>
      <c r="D192" s="758"/>
      <c r="E192" s="758"/>
    </row>
    <row r="193" spans="1:9" x14ac:dyDescent="0.25">
      <c r="A193" s="690"/>
      <c r="B193" s="690"/>
      <c r="C193" s="690"/>
      <c r="D193" s="758"/>
      <c r="E193" s="758"/>
    </row>
    <row r="194" spans="1:9" ht="16.5" customHeight="1" x14ac:dyDescent="0.25">
      <c r="A194" s="2037" t="s">
        <v>212</v>
      </c>
      <c r="B194" s="2037"/>
      <c r="C194" s="2037"/>
      <c r="D194" s="2037"/>
      <c r="E194" s="2037"/>
      <c r="F194" s="2037"/>
      <c r="G194" s="2037"/>
    </row>
    <row r="195" spans="1:9" ht="16.5" customHeight="1" x14ac:dyDescent="0.25">
      <c r="A195" s="2038" t="s">
        <v>389</v>
      </c>
      <c r="B195" s="2038"/>
      <c r="C195" s="2038"/>
      <c r="D195" s="2038"/>
      <c r="E195" s="2038"/>
      <c r="F195" s="2038"/>
      <c r="G195" s="2038"/>
      <c r="I195" s="562"/>
    </row>
    <row r="196" spans="1:9" x14ac:dyDescent="0.25">
      <c r="A196" s="691"/>
      <c r="B196" s="692" t="s">
        <v>1766</v>
      </c>
      <c r="C196" s="692" t="s">
        <v>451</v>
      </c>
      <c r="D196" s="759"/>
      <c r="E196" s="759"/>
    </row>
    <row r="197" spans="1:9" x14ac:dyDescent="0.25">
      <c r="A197" s="691"/>
      <c r="B197" s="858"/>
      <c r="C197" s="2035"/>
      <c r="D197" s="2032" t="str">
        <f>D160</f>
        <v>As at 31st March 2020</v>
      </c>
      <c r="E197" s="2032"/>
      <c r="F197" s="2032" t="str">
        <f>E160</f>
        <v>As at 31st March 2019</v>
      </c>
      <c r="G197" s="2032"/>
    </row>
    <row r="198" spans="1:9" x14ac:dyDescent="0.25">
      <c r="A198" s="691"/>
      <c r="B198" s="859"/>
      <c r="C198" s="2036"/>
      <c r="D198" s="852" t="s">
        <v>1752</v>
      </c>
      <c r="E198" s="852" t="s">
        <v>450</v>
      </c>
      <c r="F198" s="852" t="s">
        <v>1752</v>
      </c>
      <c r="G198" s="852" t="s">
        <v>450</v>
      </c>
    </row>
    <row r="199" spans="1:9" x14ac:dyDescent="0.25">
      <c r="A199" s="691"/>
      <c r="B199" s="695"/>
      <c r="C199" s="691" t="s">
        <v>1753</v>
      </c>
      <c r="D199" s="756"/>
      <c r="F199" s="756"/>
      <c r="G199" s="867"/>
    </row>
    <row r="200" spans="1:9" x14ac:dyDescent="0.25">
      <c r="A200" s="691"/>
      <c r="B200" s="695"/>
      <c r="C200" s="691" t="s">
        <v>1754</v>
      </c>
      <c r="D200" s="756"/>
      <c r="F200" s="756"/>
      <c r="G200" s="867"/>
    </row>
    <row r="201" spans="1:9" x14ac:dyDescent="0.25">
      <c r="A201" s="691"/>
      <c r="B201" s="695"/>
      <c r="C201" s="692" t="s">
        <v>1756</v>
      </c>
      <c r="D201" s="756"/>
      <c r="F201" s="756"/>
      <c r="G201" s="867"/>
    </row>
    <row r="202" spans="1:9" x14ac:dyDescent="0.25">
      <c r="A202" s="691"/>
      <c r="B202" s="695"/>
      <c r="C202" s="691" t="s">
        <v>452</v>
      </c>
      <c r="D202" s="756"/>
      <c r="F202" s="756"/>
      <c r="G202" s="867"/>
    </row>
    <row r="203" spans="1:9" x14ac:dyDescent="0.25">
      <c r="A203" s="691"/>
      <c r="B203" s="695"/>
      <c r="C203" s="691" t="s">
        <v>1755</v>
      </c>
      <c r="D203" s="756"/>
      <c r="F203" s="756"/>
      <c r="G203" s="867"/>
    </row>
    <row r="204" spans="1:9" x14ac:dyDescent="0.25">
      <c r="A204" s="691"/>
      <c r="B204" s="695"/>
      <c r="C204" s="691" t="s">
        <v>453</v>
      </c>
      <c r="D204" s="756">
        <v>0</v>
      </c>
      <c r="E204" s="756">
        <f>+'Final tb'!C5</f>
        <v>4605126</v>
      </c>
      <c r="F204" s="756">
        <v>0</v>
      </c>
      <c r="G204" s="756">
        <v>12444487</v>
      </c>
    </row>
    <row r="205" spans="1:9" x14ac:dyDescent="0.25">
      <c r="A205" s="691"/>
      <c r="B205" s="695"/>
      <c r="C205" s="691" t="s">
        <v>496</v>
      </c>
      <c r="D205" s="756">
        <v>0</v>
      </c>
      <c r="E205" s="762">
        <v>0</v>
      </c>
      <c r="F205" s="756">
        <v>0</v>
      </c>
      <c r="G205" s="756">
        <v>20308010</v>
      </c>
    </row>
    <row r="206" spans="1:9" x14ac:dyDescent="0.25">
      <c r="A206" s="691"/>
      <c r="B206" s="695"/>
      <c r="C206" s="691" t="s">
        <v>257</v>
      </c>
      <c r="D206" s="756"/>
      <c r="F206" s="756"/>
      <c r="G206" s="867"/>
    </row>
    <row r="207" spans="1:9" x14ac:dyDescent="0.25">
      <c r="A207" s="691"/>
      <c r="B207" s="695"/>
      <c r="C207" s="691" t="s">
        <v>1757</v>
      </c>
      <c r="D207" s="756"/>
      <c r="F207" s="756"/>
      <c r="G207" s="867"/>
    </row>
    <row r="208" spans="1:9" x14ac:dyDescent="0.25">
      <c r="A208" s="691"/>
      <c r="B208" s="695"/>
      <c r="C208" s="854" t="s">
        <v>1758</v>
      </c>
      <c r="D208" s="756"/>
      <c r="F208" s="756"/>
      <c r="G208" s="867"/>
    </row>
    <row r="209" spans="1:7" x14ac:dyDescent="0.25">
      <c r="A209" s="691"/>
      <c r="B209" s="695"/>
      <c r="C209" s="854" t="s">
        <v>1759</v>
      </c>
      <c r="D209" s="756"/>
      <c r="F209" s="756"/>
      <c r="G209" s="867"/>
    </row>
    <row r="210" spans="1:7" x14ac:dyDescent="0.25">
      <c r="A210" s="691"/>
      <c r="B210" s="695"/>
      <c r="C210" s="691" t="s">
        <v>1760</v>
      </c>
      <c r="D210" s="756">
        <f>+'Final tb'!C7-D252</f>
        <v>4815494.67</v>
      </c>
      <c r="E210" s="756">
        <v>9137679</v>
      </c>
      <c r="F210" s="756">
        <v>7815495</v>
      </c>
      <c r="G210" s="756">
        <v>9137679</v>
      </c>
    </row>
    <row r="211" spans="1:7" x14ac:dyDescent="0.25">
      <c r="A211" s="691"/>
      <c r="B211" s="695"/>
      <c r="C211" s="696" t="s">
        <v>217</v>
      </c>
      <c r="D211" s="756"/>
      <c r="F211" s="756"/>
      <c r="G211" s="867"/>
    </row>
    <row r="212" spans="1:7" x14ac:dyDescent="0.25">
      <c r="A212" s="691"/>
      <c r="B212" s="695"/>
      <c r="C212" s="855" t="s">
        <v>1761</v>
      </c>
      <c r="D212" s="756">
        <v>0</v>
      </c>
      <c r="E212" s="756">
        <f>+'Final tb'!C6</f>
        <v>157331699.14999998</v>
      </c>
      <c r="F212" s="756">
        <v>0</v>
      </c>
      <c r="G212" s="868">
        <f>SUM(E256:E264)</f>
        <v>161701795</v>
      </c>
    </row>
    <row r="213" spans="1:7" hidden="1" x14ac:dyDescent="0.25">
      <c r="A213" s="691"/>
      <c r="B213" s="695"/>
      <c r="C213" s="686" t="s">
        <v>605</v>
      </c>
      <c r="D213" s="756">
        <v>0</v>
      </c>
      <c r="F213" s="756">
        <v>0</v>
      </c>
      <c r="G213" s="867"/>
    </row>
    <row r="214" spans="1:7" hidden="1" x14ac:dyDescent="0.25">
      <c r="A214" s="691"/>
      <c r="B214" s="695"/>
      <c r="C214" s="686" t="s">
        <v>589</v>
      </c>
      <c r="D214" s="756">
        <v>0</v>
      </c>
      <c r="F214" s="756">
        <v>0</v>
      </c>
      <c r="G214" s="867"/>
    </row>
    <row r="215" spans="1:7" hidden="1" x14ac:dyDescent="0.25">
      <c r="A215" s="691"/>
      <c r="B215" s="695"/>
      <c r="C215" s="686" t="s">
        <v>553</v>
      </c>
      <c r="D215" s="756">
        <v>0</v>
      </c>
      <c r="F215" s="756">
        <v>0</v>
      </c>
      <c r="G215" s="867"/>
    </row>
    <row r="216" spans="1:7" hidden="1" x14ac:dyDescent="0.25">
      <c r="A216" s="691"/>
      <c r="B216" s="695"/>
      <c r="C216" s="686" t="s">
        <v>551</v>
      </c>
      <c r="D216" s="756">
        <v>0</v>
      </c>
      <c r="F216" s="756">
        <v>0</v>
      </c>
      <c r="G216" s="867"/>
    </row>
    <row r="217" spans="1:7" hidden="1" x14ac:dyDescent="0.25">
      <c r="A217" s="691"/>
      <c r="B217" s="695"/>
      <c r="C217" s="686" t="s">
        <v>554</v>
      </c>
      <c r="D217" s="756">
        <v>0</v>
      </c>
      <c r="F217" s="756">
        <v>0</v>
      </c>
      <c r="G217" s="867"/>
    </row>
    <row r="218" spans="1:7" hidden="1" x14ac:dyDescent="0.25">
      <c r="A218" s="691"/>
      <c r="B218" s="695"/>
      <c r="C218" s="686" t="s">
        <v>555</v>
      </c>
      <c r="D218" s="756">
        <v>0</v>
      </c>
      <c r="F218" s="756">
        <v>0</v>
      </c>
      <c r="G218" s="867"/>
    </row>
    <row r="219" spans="1:7" hidden="1" x14ac:dyDescent="0.25">
      <c r="A219" s="691"/>
      <c r="B219" s="695"/>
      <c r="C219" s="686" t="s">
        <v>552</v>
      </c>
      <c r="D219" s="756">
        <v>0</v>
      </c>
      <c r="F219" s="756">
        <v>0</v>
      </c>
      <c r="G219" s="867"/>
    </row>
    <row r="220" spans="1:7" hidden="1" x14ac:dyDescent="0.25">
      <c r="A220" s="691"/>
      <c r="B220" s="695"/>
      <c r="C220" s="686" t="s">
        <v>550</v>
      </c>
      <c r="D220" s="756">
        <v>0</v>
      </c>
      <c r="F220" s="756">
        <v>0</v>
      </c>
      <c r="G220" s="867"/>
    </row>
    <row r="221" spans="1:7" hidden="1" x14ac:dyDescent="0.25">
      <c r="A221" s="691"/>
      <c r="B221" s="695"/>
      <c r="C221" s="686" t="s">
        <v>606</v>
      </c>
      <c r="D221" s="756">
        <v>0</v>
      </c>
      <c r="F221" s="756">
        <v>0</v>
      </c>
      <c r="G221" s="867"/>
    </row>
    <row r="222" spans="1:7" ht="14.4" thickBot="1" x14ac:dyDescent="0.3">
      <c r="A222" s="691"/>
      <c r="B222" s="856"/>
      <c r="C222" s="857" t="s">
        <v>1762</v>
      </c>
      <c r="D222" s="853">
        <f>ROUND(SUM(D201:D221),0)</f>
        <v>4815495</v>
      </c>
      <c r="E222" s="853">
        <f>ROUND(SUM(E201:E221),0)</f>
        <v>171074504</v>
      </c>
      <c r="F222" s="853">
        <f>ROUND(SUM(F201:F221),0)</f>
        <v>7815495</v>
      </c>
      <c r="G222" s="853">
        <f>ROUND(SUM(G201:G221),0)</f>
        <v>203591971</v>
      </c>
    </row>
    <row r="223" spans="1:7" ht="14.4" thickTop="1" x14ac:dyDescent="0.25">
      <c r="A223" s="691"/>
      <c r="B223" s="691"/>
      <c r="C223" s="706"/>
      <c r="D223" s="761"/>
      <c r="E223" s="761"/>
      <c r="F223" s="761"/>
      <c r="G223" s="761"/>
    </row>
    <row r="224" spans="1:7" x14ac:dyDescent="0.25">
      <c r="A224" s="691"/>
      <c r="B224" s="691" t="s">
        <v>1794</v>
      </c>
      <c r="D224" s="550"/>
      <c r="E224" s="550"/>
      <c r="G224" s="761"/>
    </row>
    <row r="225" spans="1:7" ht="27.6" x14ac:dyDescent="0.25">
      <c r="A225" s="691"/>
      <c r="B225" s="693"/>
      <c r="C225" s="873" t="s">
        <v>1539</v>
      </c>
      <c r="D225" s="852" t="str">
        <f>D197</f>
        <v>As at 31st March 2020</v>
      </c>
      <c r="E225" s="852" t="s">
        <v>1767</v>
      </c>
      <c r="F225" s="874" t="s">
        <v>1768</v>
      </c>
      <c r="G225" s="761"/>
    </row>
    <row r="226" spans="1:7" x14ac:dyDescent="0.25">
      <c r="A226" s="691"/>
      <c r="B226" s="695"/>
      <c r="C226" s="869" t="s">
        <v>1770</v>
      </c>
      <c r="D226" s="880"/>
      <c r="E226" s="880"/>
      <c r="F226" s="881"/>
      <c r="G226" s="761"/>
    </row>
    <row r="227" spans="1:7" x14ac:dyDescent="0.25">
      <c r="A227" s="691"/>
      <c r="B227" s="695"/>
      <c r="C227" s="878" t="s">
        <v>1753</v>
      </c>
      <c r="D227" s="875">
        <v>0</v>
      </c>
      <c r="E227" s="875">
        <v>0</v>
      </c>
      <c r="F227" s="871">
        <v>0</v>
      </c>
      <c r="G227" s="761"/>
    </row>
    <row r="228" spans="1:7" x14ac:dyDescent="0.25">
      <c r="A228" s="691"/>
      <c r="B228" s="695"/>
      <c r="C228" s="878" t="s">
        <v>1769</v>
      </c>
      <c r="D228" s="875">
        <v>0</v>
      </c>
      <c r="E228" s="875">
        <v>0</v>
      </c>
      <c r="F228" s="871">
        <v>0</v>
      </c>
      <c r="G228" s="761"/>
    </row>
    <row r="229" spans="1:7" x14ac:dyDescent="0.25">
      <c r="A229" s="691"/>
      <c r="B229" s="695"/>
      <c r="C229" s="870" t="s">
        <v>1772</v>
      </c>
      <c r="D229" s="882">
        <f>E204</f>
        <v>4605126</v>
      </c>
      <c r="E229" s="875">
        <v>0</v>
      </c>
      <c r="F229" s="871">
        <v>0</v>
      </c>
      <c r="G229" s="761"/>
    </row>
    <row r="230" spans="1:7" x14ac:dyDescent="0.25">
      <c r="A230" s="691"/>
      <c r="B230" s="695"/>
      <c r="C230" s="691" t="s">
        <v>1760</v>
      </c>
      <c r="D230" s="756">
        <f>D210</f>
        <v>4815494.67</v>
      </c>
      <c r="E230" s="876">
        <v>0</v>
      </c>
      <c r="F230" s="862">
        <v>0</v>
      </c>
      <c r="G230" s="761"/>
    </row>
    <row r="231" spans="1:7" x14ac:dyDescent="0.25">
      <c r="A231" s="691"/>
      <c r="B231" s="695"/>
      <c r="C231" s="870" t="s">
        <v>1771</v>
      </c>
      <c r="D231" s="876"/>
      <c r="E231" s="876"/>
      <c r="F231" s="862"/>
      <c r="G231" s="761"/>
    </row>
    <row r="232" spans="1:7" x14ac:dyDescent="0.25">
      <c r="A232" s="691"/>
      <c r="B232" s="695"/>
      <c r="C232" s="691" t="s">
        <v>1760</v>
      </c>
      <c r="D232" s="756">
        <f>E210</f>
        <v>9137679</v>
      </c>
      <c r="E232" s="876">
        <v>0</v>
      </c>
      <c r="F232" s="862">
        <v>0</v>
      </c>
      <c r="G232" s="761"/>
    </row>
    <row r="233" spans="1:7" x14ac:dyDescent="0.25">
      <c r="A233" s="691"/>
      <c r="B233" s="859"/>
      <c r="C233" s="879"/>
      <c r="D233" s="877"/>
      <c r="E233" s="877"/>
      <c r="F233" s="872"/>
      <c r="G233" s="761"/>
    </row>
    <row r="234" spans="1:7" x14ac:dyDescent="0.25">
      <c r="A234" s="691"/>
      <c r="B234" s="691"/>
      <c r="C234" s="706"/>
      <c r="D234" s="761"/>
      <c r="E234" s="761"/>
      <c r="F234" s="761"/>
      <c r="G234" s="761"/>
    </row>
    <row r="235" spans="1:7" s="626" customFormat="1" x14ac:dyDescent="0.25">
      <c r="A235" s="692"/>
      <c r="B235" s="692" t="s">
        <v>1793</v>
      </c>
      <c r="C235" s="692" t="s">
        <v>1538</v>
      </c>
      <c r="D235" s="775"/>
      <c r="E235" s="775"/>
      <c r="F235" s="761"/>
      <c r="G235" s="761"/>
    </row>
    <row r="236" spans="1:7" ht="27.6" x14ac:dyDescent="0.25">
      <c r="A236" s="691"/>
      <c r="B236" s="651"/>
      <c r="C236" s="652"/>
      <c r="D236" s="721" t="str">
        <f>D225</f>
        <v>As at 31st March 2020</v>
      </c>
      <c r="E236" s="734" t="str">
        <f>F197</f>
        <v>As at 31st March 2019</v>
      </c>
      <c r="F236" s="761"/>
      <c r="G236" s="761"/>
    </row>
    <row r="237" spans="1:7" x14ac:dyDescent="0.25">
      <c r="A237" s="691"/>
      <c r="B237" s="655"/>
      <c r="C237" s="672" t="s">
        <v>1778</v>
      </c>
      <c r="D237" s="727">
        <f>E205</f>
        <v>0</v>
      </c>
      <c r="E237" s="735">
        <f>G205</f>
        <v>20308010</v>
      </c>
      <c r="F237" s="761"/>
      <c r="G237" s="761"/>
    </row>
    <row r="238" spans="1:7" x14ac:dyDescent="0.25">
      <c r="A238" s="691"/>
      <c r="B238" s="655"/>
      <c r="C238" s="590" t="s">
        <v>1773</v>
      </c>
      <c r="D238" s="753"/>
      <c r="E238" s="754"/>
      <c r="F238" s="761"/>
      <c r="G238" s="761"/>
    </row>
    <row r="239" spans="1:7" x14ac:dyDescent="0.25">
      <c r="A239" s="691"/>
      <c r="B239" s="655"/>
      <c r="C239" s="590" t="s">
        <v>1774</v>
      </c>
      <c r="D239" s="753"/>
      <c r="E239" s="754"/>
      <c r="F239" s="761"/>
      <c r="G239" s="761"/>
    </row>
    <row r="240" spans="1:7" x14ac:dyDescent="0.25">
      <c r="A240" s="691"/>
      <c r="B240" s="655"/>
      <c r="C240" s="590" t="s">
        <v>1775</v>
      </c>
      <c r="D240" s="753"/>
      <c r="E240" s="754"/>
      <c r="F240" s="761"/>
      <c r="G240" s="761"/>
    </row>
    <row r="241" spans="1:9" x14ac:dyDescent="0.25">
      <c r="A241" s="691"/>
      <c r="B241" s="655"/>
      <c r="C241" s="590" t="s">
        <v>1776</v>
      </c>
      <c r="D241" s="753"/>
      <c r="E241" s="754"/>
      <c r="F241" s="761"/>
      <c r="G241" s="761"/>
    </row>
    <row r="242" spans="1:9" x14ac:dyDescent="0.25">
      <c r="A242" s="691"/>
      <c r="B242" s="655"/>
      <c r="C242" s="590" t="s">
        <v>1777</v>
      </c>
      <c r="D242" s="753"/>
      <c r="E242" s="754"/>
      <c r="F242" s="761"/>
      <c r="G242" s="761"/>
    </row>
    <row r="243" spans="1:9" x14ac:dyDescent="0.25">
      <c r="A243" s="691"/>
      <c r="B243" s="655"/>
      <c r="C243" s="590"/>
      <c r="D243" s="753"/>
      <c r="E243" s="754"/>
      <c r="F243" s="761"/>
      <c r="G243" s="761"/>
    </row>
    <row r="244" spans="1:9" ht="14.4" thickBot="1" x14ac:dyDescent="0.3">
      <c r="A244" s="691"/>
      <c r="B244" s="687"/>
      <c r="C244" s="591" t="s">
        <v>1710</v>
      </c>
      <c r="D244" s="773">
        <f>SUM(D237:D240)</f>
        <v>0</v>
      </c>
      <c r="E244" s="773">
        <f>SUM(E237:E240)</f>
        <v>20308010</v>
      </c>
      <c r="F244" s="761"/>
      <c r="G244" s="761"/>
    </row>
    <row r="245" spans="1:9" ht="14.4" thickTop="1" x14ac:dyDescent="0.25">
      <c r="A245" s="691"/>
      <c r="B245" s="691" t="s">
        <v>1779</v>
      </c>
      <c r="C245" s="706"/>
      <c r="D245" s="761"/>
      <c r="E245" s="761"/>
      <c r="F245" s="761"/>
      <c r="G245" s="761"/>
    </row>
    <row r="246" spans="1:9" x14ac:dyDescent="0.25">
      <c r="A246" s="691"/>
      <c r="B246" s="691"/>
      <c r="C246" s="706"/>
      <c r="D246" s="761"/>
      <c r="E246" s="761"/>
      <c r="F246" s="761"/>
      <c r="G246" s="761"/>
    </row>
    <row r="247" spans="1:9" x14ac:dyDescent="0.25">
      <c r="A247" s="691"/>
      <c r="B247" s="691"/>
      <c r="C247" s="706"/>
      <c r="D247" s="761"/>
      <c r="E247" s="761"/>
      <c r="F247" s="761"/>
      <c r="G247" s="761"/>
    </row>
    <row r="248" spans="1:9" ht="27.6" x14ac:dyDescent="0.25">
      <c r="A248" s="691"/>
      <c r="B248" s="865" t="s">
        <v>1765</v>
      </c>
      <c r="C248" s="864" t="s">
        <v>1764</v>
      </c>
      <c r="D248" s="863" t="str">
        <f>D197</f>
        <v>As at 31st March 2020</v>
      </c>
      <c r="E248" s="866" t="str">
        <f>F197</f>
        <v>As at 31st March 2019</v>
      </c>
    </row>
    <row r="249" spans="1:9" x14ac:dyDescent="0.25">
      <c r="A249" s="691"/>
      <c r="B249" s="695"/>
      <c r="C249" s="692" t="s">
        <v>256</v>
      </c>
      <c r="D249" s="756"/>
      <c r="E249" s="756"/>
    </row>
    <row r="250" spans="1:9" x14ac:dyDescent="0.25">
      <c r="A250" s="691"/>
      <c r="B250" s="695"/>
      <c r="C250" s="691" t="s">
        <v>453</v>
      </c>
      <c r="D250" s="756">
        <f>+'Final tb'!C5</f>
        <v>4605126</v>
      </c>
      <c r="E250" s="756">
        <v>12444487</v>
      </c>
    </row>
    <row r="251" spans="1:9" x14ac:dyDescent="0.25">
      <c r="A251" s="691"/>
      <c r="B251" s="695"/>
      <c r="C251" s="691" t="s">
        <v>496</v>
      </c>
      <c r="D251" s="756">
        <f>+'Final tb'!C22</f>
        <v>0</v>
      </c>
      <c r="E251" s="756">
        <v>20308010</v>
      </c>
    </row>
    <row r="252" spans="1:9" x14ac:dyDescent="0.25">
      <c r="A252" s="691"/>
      <c r="B252" s="695"/>
      <c r="C252" s="691" t="s">
        <v>258</v>
      </c>
      <c r="D252" s="756">
        <v>9137679</v>
      </c>
      <c r="E252" s="756">
        <v>9137679</v>
      </c>
      <c r="G252" s="700"/>
      <c r="H252" s="700"/>
      <c r="I252" s="700"/>
    </row>
    <row r="253" spans="1:9" x14ac:dyDescent="0.25">
      <c r="A253" s="691"/>
      <c r="B253" s="695"/>
      <c r="C253" s="696" t="s">
        <v>217</v>
      </c>
      <c r="D253" s="760">
        <f>+'Final tb'!C6</f>
        <v>157331699.14999998</v>
      </c>
      <c r="E253" s="756">
        <v>0</v>
      </c>
      <c r="G253" s="700"/>
      <c r="H253" s="700"/>
      <c r="I253" s="700"/>
    </row>
    <row r="254" spans="1:9" x14ac:dyDescent="0.25">
      <c r="A254" s="691"/>
      <c r="B254" s="695"/>
      <c r="C254" s="697" t="s">
        <v>1337</v>
      </c>
      <c r="D254" s="762"/>
      <c r="E254" s="756"/>
      <c r="G254" s="700"/>
      <c r="H254" s="700"/>
      <c r="I254" s="700"/>
    </row>
    <row r="255" spans="1:9" x14ac:dyDescent="0.25">
      <c r="A255" s="691"/>
      <c r="B255" s="695"/>
      <c r="C255" s="701" t="s">
        <v>454</v>
      </c>
      <c r="D255" s="756">
        <v>0</v>
      </c>
      <c r="E255" s="756">
        <v>0</v>
      </c>
      <c r="G255" s="700"/>
      <c r="H255" s="700"/>
      <c r="I255" s="700"/>
    </row>
    <row r="256" spans="1:9" x14ac:dyDescent="0.25">
      <c r="A256" s="691"/>
      <c r="B256" s="695"/>
      <c r="C256" s="701" t="s">
        <v>550</v>
      </c>
      <c r="D256" s="756">
        <v>0</v>
      </c>
      <c r="E256" s="756">
        <v>100000</v>
      </c>
      <c r="G256" s="700"/>
      <c r="H256" s="700"/>
      <c r="I256" s="700"/>
    </row>
    <row r="257" spans="1:11" x14ac:dyDescent="0.25">
      <c r="A257" s="691"/>
      <c r="B257" s="695"/>
      <c r="C257" s="701" t="s">
        <v>606</v>
      </c>
      <c r="D257" s="756">
        <v>0</v>
      </c>
      <c r="E257" s="756">
        <v>4000000</v>
      </c>
      <c r="G257" s="700"/>
      <c r="H257" s="700"/>
      <c r="I257" s="700"/>
    </row>
    <row r="258" spans="1:11" x14ac:dyDescent="0.25">
      <c r="A258" s="691"/>
      <c r="B258" s="695"/>
      <c r="C258" s="701" t="s">
        <v>551</v>
      </c>
      <c r="D258" s="756">
        <v>0</v>
      </c>
      <c r="E258" s="756">
        <v>2500000</v>
      </c>
      <c r="G258" s="700"/>
      <c r="H258" s="700"/>
      <c r="I258" s="700"/>
    </row>
    <row r="259" spans="1:11" x14ac:dyDescent="0.25">
      <c r="A259" s="691"/>
      <c r="B259" s="695"/>
      <c r="C259" s="701" t="s">
        <v>552</v>
      </c>
      <c r="D259" s="756">
        <v>0</v>
      </c>
      <c r="E259" s="756">
        <v>5257508</v>
      </c>
      <c r="G259" s="700"/>
      <c r="H259" s="700"/>
      <c r="I259" s="700"/>
    </row>
    <row r="260" spans="1:11" x14ac:dyDescent="0.25">
      <c r="A260" s="691"/>
      <c r="B260" s="695"/>
      <c r="C260" s="701" t="s">
        <v>605</v>
      </c>
      <c r="D260" s="756">
        <v>0</v>
      </c>
      <c r="E260" s="756">
        <v>7249941</v>
      </c>
      <c r="I260" s="2031" t="s">
        <v>634</v>
      </c>
      <c r="J260" s="2031"/>
      <c r="K260" s="702"/>
    </row>
    <row r="261" spans="1:11" x14ac:dyDescent="0.25">
      <c r="A261" s="691"/>
      <c r="B261" s="695"/>
      <c r="C261" s="701" t="s">
        <v>553</v>
      </c>
      <c r="D261" s="756">
        <v>0</v>
      </c>
      <c r="E261" s="756">
        <v>5399812</v>
      </c>
      <c r="I261" s="702" t="s">
        <v>635</v>
      </c>
      <c r="J261" s="702">
        <v>50823278</v>
      </c>
      <c r="K261" s="702"/>
    </row>
    <row r="262" spans="1:11" x14ac:dyDescent="0.25">
      <c r="A262" s="691"/>
      <c r="B262" s="695"/>
      <c r="C262" s="701" t="s">
        <v>554</v>
      </c>
      <c r="D262" s="756">
        <v>0</v>
      </c>
      <c r="E262" s="756">
        <v>774000</v>
      </c>
      <c r="I262" s="702" t="s">
        <v>636</v>
      </c>
      <c r="J262" s="702">
        <v>34187241</v>
      </c>
      <c r="K262" s="702"/>
    </row>
    <row r="263" spans="1:11" x14ac:dyDescent="0.25">
      <c r="A263" s="691"/>
      <c r="B263" s="695"/>
      <c r="C263" s="701" t="s">
        <v>1338</v>
      </c>
      <c r="D263" s="756">
        <v>0</v>
      </c>
      <c r="E263" s="756">
        <v>123920534</v>
      </c>
      <c r="I263" s="702" t="s">
        <v>637</v>
      </c>
      <c r="J263" s="702">
        <v>42510015</v>
      </c>
      <c r="K263" s="702"/>
    </row>
    <row r="264" spans="1:11" x14ac:dyDescent="0.25">
      <c r="A264" s="691"/>
      <c r="B264" s="695"/>
      <c r="C264" s="701" t="s">
        <v>555</v>
      </c>
      <c r="D264" s="756">
        <v>0</v>
      </c>
      <c r="E264" s="756">
        <v>12500000</v>
      </c>
      <c r="I264" s="702" t="s">
        <v>638</v>
      </c>
      <c r="J264" s="702">
        <f>-5600000+2000000</f>
        <v>-3600000</v>
      </c>
      <c r="K264" s="703" t="s">
        <v>639</v>
      </c>
    </row>
    <row r="265" spans="1:11" x14ac:dyDescent="0.25">
      <c r="A265" s="691"/>
      <c r="B265" s="859"/>
      <c r="C265" s="704"/>
      <c r="D265" s="860"/>
      <c r="E265" s="861"/>
      <c r="I265" s="626"/>
      <c r="J265" s="702"/>
      <c r="K265" s="626"/>
    </row>
    <row r="266" spans="1:11" ht="14.4" thickBot="1" x14ac:dyDescent="0.3">
      <c r="A266" s="691"/>
      <c r="B266" s="693"/>
      <c r="C266" s="705" t="s">
        <v>213</v>
      </c>
      <c r="D266" s="853">
        <f>SUM(D249:D265)</f>
        <v>171074504.14999998</v>
      </c>
      <c r="E266" s="853">
        <f>SUM(E249:E265)</f>
        <v>203591971</v>
      </c>
      <c r="G266" s="862"/>
      <c r="I266" s="702" t="s">
        <v>213</v>
      </c>
      <c r="J266" s="626">
        <f>SUM(J261:J264)</f>
        <v>123920534</v>
      </c>
      <c r="K266" s="626"/>
    </row>
    <row r="267" spans="1:11" ht="14.4" thickTop="1" x14ac:dyDescent="0.25">
      <c r="A267" s="691"/>
      <c r="B267" s="691"/>
      <c r="C267" s="706"/>
      <c r="D267" s="761"/>
      <c r="E267" s="761"/>
      <c r="F267" s="552"/>
    </row>
    <row r="268" spans="1:11" ht="33" customHeight="1" x14ac:dyDescent="0.25">
      <c r="A268" s="691"/>
      <c r="B268" s="707" t="s">
        <v>614</v>
      </c>
      <c r="C268" s="2039" t="s">
        <v>621</v>
      </c>
      <c r="D268" s="2039"/>
      <c r="E268" s="2039"/>
      <c r="F268" s="552"/>
    </row>
    <row r="269" spans="1:11" x14ac:dyDescent="0.25">
      <c r="A269" s="691"/>
      <c r="B269" s="691"/>
      <c r="C269" s="691"/>
      <c r="D269" s="762"/>
      <c r="E269" s="762"/>
    </row>
    <row r="270" spans="1:11" x14ac:dyDescent="0.25">
      <c r="A270" s="691"/>
      <c r="B270" s="692" t="s">
        <v>1825</v>
      </c>
      <c r="C270" s="692" t="s">
        <v>1789</v>
      </c>
      <c r="D270" s="759"/>
      <c r="E270" s="759"/>
    </row>
    <row r="271" spans="1:11" x14ac:dyDescent="0.25">
      <c r="A271" s="691"/>
      <c r="B271" s="858"/>
      <c r="C271" s="2035"/>
      <c r="D271" s="2032" t="str">
        <f>D197</f>
        <v>As at 31st March 2020</v>
      </c>
      <c r="E271" s="2032"/>
      <c r="F271" s="2032" t="str">
        <f>F197</f>
        <v>As at 31st March 2019</v>
      </c>
      <c r="G271" s="2032"/>
    </row>
    <row r="272" spans="1:11" x14ac:dyDescent="0.25">
      <c r="A272" s="691"/>
      <c r="B272" s="859"/>
      <c r="C272" s="2036"/>
      <c r="D272" s="852" t="s">
        <v>1752</v>
      </c>
      <c r="E272" s="852" t="s">
        <v>450</v>
      </c>
      <c r="F272" s="852" t="s">
        <v>1752</v>
      </c>
      <c r="G272" s="852" t="s">
        <v>450</v>
      </c>
    </row>
    <row r="273" spans="1:7" x14ac:dyDescent="0.25">
      <c r="A273" s="691"/>
      <c r="B273" s="695"/>
      <c r="C273" s="691" t="s">
        <v>1780</v>
      </c>
      <c r="D273" s="756"/>
      <c r="F273" s="756"/>
      <c r="G273" s="867"/>
    </row>
    <row r="274" spans="1:7" x14ac:dyDescent="0.25">
      <c r="A274" s="691"/>
      <c r="B274" s="695"/>
      <c r="C274" s="691" t="s">
        <v>1781</v>
      </c>
      <c r="D274" s="756"/>
      <c r="F274" s="756"/>
      <c r="G274" s="867"/>
    </row>
    <row r="275" spans="1:7" x14ac:dyDescent="0.25">
      <c r="A275" s="691"/>
      <c r="B275" s="695"/>
      <c r="C275" s="691" t="s">
        <v>1782</v>
      </c>
      <c r="D275" s="756"/>
      <c r="F275" s="756"/>
      <c r="G275" s="867"/>
    </row>
    <row r="276" spans="1:7" x14ac:dyDescent="0.25">
      <c r="A276" s="691"/>
      <c r="B276" s="695"/>
      <c r="C276" s="883" t="s">
        <v>1783</v>
      </c>
      <c r="D276" s="756"/>
      <c r="F276" s="756"/>
      <c r="G276" s="867"/>
    </row>
    <row r="277" spans="1:7" x14ac:dyDescent="0.25">
      <c r="A277" s="691"/>
      <c r="B277" s="695"/>
      <c r="C277" s="691" t="s">
        <v>1784</v>
      </c>
      <c r="D277" s="756"/>
      <c r="F277" s="756"/>
      <c r="G277" s="867"/>
    </row>
    <row r="278" spans="1:7" x14ac:dyDescent="0.25">
      <c r="A278" s="691"/>
      <c r="B278" s="695"/>
      <c r="C278" s="691" t="s">
        <v>1785</v>
      </c>
      <c r="D278" s="756"/>
      <c r="E278" s="756"/>
      <c r="F278" s="756"/>
      <c r="G278" s="756"/>
    </row>
    <row r="279" spans="1:7" x14ac:dyDescent="0.25">
      <c r="A279" s="691"/>
      <c r="B279" s="695"/>
      <c r="C279" s="691" t="s">
        <v>1786</v>
      </c>
      <c r="D279" s="756"/>
      <c r="E279" s="762"/>
      <c r="F279" s="756"/>
      <c r="G279" s="756"/>
    </row>
    <row r="280" spans="1:7" x14ac:dyDescent="0.25">
      <c r="A280" s="691"/>
      <c r="B280" s="695"/>
      <c r="C280" s="691" t="s">
        <v>1787</v>
      </c>
      <c r="D280" s="756"/>
      <c r="F280" s="756"/>
      <c r="G280" s="867"/>
    </row>
    <row r="281" spans="1:7" x14ac:dyDescent="0.25">
      <c r="A281" s="691"/>
      <c r="B281" s="695"/>
      <c r="C281" s="691" t="s">
        <v>1788</v>
      </c>
      <c r="D281" s="756"/>
      <c r="F281" s="756"/>
      <c r="G281" s="867"/>
    </row>
    <row r="282" spans="1:7" x14ac:dyDescent="0.25">
      <c r="A282" s="691"/>
      <c r="B282" s="695"/>
      <c r="C282" s="691" t="s">
        <v>582</v>
      </c>
      <c r="D282" s="756"/>
      <c r="E282" s="676">
        <v>0</v>
      </c>
      <c r="F282" s="756"/>
      <c r="G282" s="867"/>
    </row>
    <row r="283" spans="1:7" hidden="1" x14ac:dyDescent="0.25">
      <c r="A283" s="691"/>
      <c r="B283" s="695"/>
      <c r="C283" s="686" t="s">
        <v>605</v>
      </c>
      <c r="D283" s="756">
        <v>0</v>
      </c>
      <c r="F283" s="756">
        <v>0</v>
      </c>
      <c r="G283" s="867"/>
    </row>
    <row r="284" spans="1:7" hidden="1" x14ac:dyDescent="0.25">
      <c r="A284" s="691"/>
      <c r="B284" s="695"/>
      <c r="C284" s="686" t="s">
        <v>589</v>
      </c>
      <c r="D284" s="756">
        <v>0</v>
      </c>
      <c r="F284" s="756">
        <v>0</v>
      </c>
      <c r="G284" s="867"/>
    </row>
    <row r="285" spans="1:7" hidden="1" x14ac:dyDescent="0.25">
      <c r="A285" s="691"/>
      <c r="B285" s="695"/>
      <c r="C285" s="686" t="s">
        <v>553</v>
      </c>
      <c r="D285" s="756">
        <v>0</v>
      </c>
      <c r="F285" s="756">
        <v>0</v>
      </c>
      <c r="G285" s="867"/>
    </row>
    <row r="286" spans="1:7" hidden="1" x14ac:dyDescent="0.25">
      <c r="A286" s="691"/>
      <c r="B286" s="695"/>
      <c r="C286" s="686" t="s">
        <v>551</v>
      </c>
      <c r="D286" s="756">
        <v>0</v>
      </c>
      <c r="F286" s="756">
        <v>0</v>
      </c>
      <c r="G286" s="867"/>
    </row>
    <row r="287" spans="1:7" hidden="1" x14ac:dyDescent="0.25">
      <c r="A287" s="691"/>
      <c r="B287" s="695"/>
      <c r="C287" s="686" t="s">
        <v>554</v>
      </c>
      <c r="D287" s="756">
        <v>0</v>
      </c>
      <c r="F287" s="756">
        <v>0</v>
      </c>
      <c r="G287" s="867"/>
    </row>
    <row r="288" spans="1:7" hidden="1" x14ac:dyDescent="0.25">
      <c r="A288" s="691"/>
      <c r="B288" s="695"/>
      <c r="C288" s="686" t="s">
        <v>555</v>
      </c>
      <c r="D288" s="756">
        <v>0</v>
      </c>
      <c r="F288" s="756">
        <v>0</v>
      </c>
      <c r="G288" s="867"/>
    </row>
    <row r="289" spans="1:7" hidden="1" x14ac:dyDescent="0.25">
      <c r="A289" s="691"/>
      <c r="B289" s="695"/>
      <c r="C289" s="686" t="s">
        <v>552</v>
      </c>
      <c r="D289" s="756">
        <v>0</v>
      </c>
      <c r="F289" s="756">
        <v>0</v>
      </c>
      <c r="G289" s="867"/>
    </row>
    <row r="290" spans="1:7" hidden="1" x14ac:dyDescent="0.25">
      <c r="A290" s="691"/>
      <c r="B290" s="695"/>
      <c r="C290" s="686" t="s">
        <v>550</v>
      </c>
      <c r="D290" s="756">
        <v>0</v>
      </c>
      <c r="F290" s="756">
        <v>0</v>
      </c>
      <c r="G290" s="867"/>
    </row>
    <row r="291" spans="1:7" hidden="1" x14ac:dyDescent="0.25">
      <c r="A291" s="691"/>
      <c r="B291" s="695"/>
      <c r="C291" s="686" t="s">
        <v>606</v>
      </c>
      <c r="D291" s="756">
        <v>0</v>
      </c>
      <c r="F291" s="756">
        <v>0</v>
      </c>
      <c r="G291" s="867"/>
    </row>
    <row r="292" spans="1:7" ht="14.4" thickBot="1" x14ac:dyDescent="0.3">
      <c r="A292" s="691"/>
      <c r="B292" s="856"/>
      <c r="C292" s="857" t="s">
        <v>1762</v>
      </c>
      <c r="D292" s="853">
        <f>ROUND(SUM(D275:D291),0)</f>
        <v>0</v>
      </c>
      <c r="E292" s="853">
        <f>ROUND(SUM(E275:E291),0)</f>
        <v>0</v>
      </c>
      <c r="F292" s="853">
        <f>ROUND(SUM(F275:F291),0)</f>
        <v>0</v>
      </c>
      <c r="G292" s="853">
        <f>ROUND(SUM(G275:G291),0)</f>
        <v>0</v>
      </c>
    </row>
    <row r="293" spans="1:7" ht="14.4" thickTop="1" x14ac:dyDescent="0.25">
      <c r="A293" s="691"/>
      <c r="B293" s="691"/>
      <c r="C293" s="706"/>
      <c r="D293" s="761"/>
      <c r="E293" s="761"/>
      <c r="F293" s="761"/>
      <c r="G293" s="761"/>
    </row>
    <row r="294" spans="1:7" x14ac:dyDescent="0.25">
      <c r="A294" s="691"/>
      <c r="B294" s="691"/>
      <c r="C294" s="691"/>
      <c r="D294" s="762"/>
      <c r="E294" s="762"/>
    </row>
    <row r="295" spans="1:7" x14ac:dyDescent="0.25">
      <c r="A295" s="691"/>
      <c r="B295" s="692" t="s">
        <v>458</v>
      </c>
      <c r="C295" s="692" t="s">
        <v>455</v>
      </c>
      <c r="D295" s="759"/>
      <c r="E295" s="759"/>
    </row>
    <row r="296" spans="1:7" x14ac:dyDescent="0.25">
      <c r="A296" s="691"/>
      <c r="B296" s="693"/>
      <c r="C296" s="694"/>
      <c r="D296" s="2032" t="str">
        <f>D271</f>
        <v>As at 31st March 2020</v>
      </c>
      <c r="E296" s="2032"/>
      <c r="F296" s="2032" t="str">
        <f>F271</f>
        <v>As at 31st March 2019</v>
      </c>
      <c r="G296" s="2032"/>
    </row>
    <row r="297" spans="1:7" x14ac:dyDescent="0.25">
      <c r="A297" s="691"/>
      <c r="B297" s="695"/>
      <c r="C297" s="711"/>
      <c r="D297" s="852" t="s">
        <v>1752</v>
      </c>
      <c r="E297" s="852" t="s">
        <v>450</v>
      </c>
      <c r="F297" s="852" t="s">
        <v>1752</v>
      </c>
      <c r="G297" s="866" t="s">
        <v>450</v>
      </c>
    </row>
    <row r="298" spans="1:7" x14ac:dyDescent="0.25">
      <c r="A298" s="691"/>
      <c r="B298" s="695"/>
      <c r="C298" s="711" t="s">
        <v>455</v>
      </c>
      <c r="D298" s="885"/>
      <c r="E298" s="885"/>
      <c r="F298" s="887"/>
    </row>
    <row r="299" spans="1:7" x14ac:dyDescent="0.25">
      <c r="A299" s="691"/>
      <c r="B299" s="695"/>
      <c r="C299" s="707" t="s">
        <v>456</v>
      </c>
      <c r="D299" s="885"/>
      <c r="E299" s="885"/>
      <c r="F299" s="887"/>
    </row>
    <row r="300" spans="1:7" x14ac:dyDescent="0.25">
      <c r="A300" s="691"/>
      <c r="B300" s="695"/>
      <c r="C300" s="691" t="s">
        <v>457</v>
      </c>
      <c r="D300" s="885"/>
      <c r="E300" s="885"/>
      <c r="F300" s="887"/>
    </row>
    <row r="301" spans="1:7" x14ac:dyDescent="0.25">
      <c r="A301" s="691"/>
      <c r="B301" s="695"/>
      <c r="C301" s="711" t="s">
        <v>1791</v>
      </c>
      <c r="D301" s="885">
        <f>SUM(D299:D300)</f>
        <v>0</v>
      </c>
      <c r="E301" s="885">
        <f>SUM(E299:E300)</f>
        <v>0</v>
      </c>
      <c r="F301" s="885">
        <f t="shared" ref="F301:G301" si="0">SUM(F299:F300)</f>
        <v>0</v>
      </c>
      <c r="G301" s="885">
        <f t="shared" si="0"/>
        <v>0</v>
      </c>
    </row>
    <row r="302" spans="1:7" x14ac:dyDescent="0.25">
      <c r="A302" s="691"/>
      <c r="B302" s="695"/>
      <c r="C302" s="711" t="s">
        <v>1790</v>
      </c>
      <c r="D302" s="885"/>
      <c r="E302" s="885"/>
      <c r="F302" s="887"/>
    </row>
    <row r="303" spans="1:7" x14ac:dyDescent="0.25">
      <c r="A303" s="691"/>
      <c r="B303" s="695"/>
      <c r="C303" s="711" t="s">
        <v>455</v>
      </c>
      <c r="D303" s="885"/>
      <c r="E303" s="885"/>
      <c r="F303" s="887"/>
    </row>
    <row r="304" spans="1:7" x14ac:dyDescent="0.25">
      <c r="A304" s="691"/>
      <c r="B304" s="695"/>
      <c r="C304" s="707" t="s">
        <v>456</v>
      </c>
      <c r="D304" s="765">
        <v>0</v>
      </c>
      <c r="E304" s="755">
        <v>0</v>
      </c>
      <c r="F304" s="887"/>
      <c r="G304" s="755">
        <v>468646</v>
      </c>
    </row>
    <row r="305" spans="1:7" x14ac:dyDescent="0.25">
      <c r="A305" s="691"/>
      <c r="B305" s="695"/>
      <c r="C305" s="691" t="s">
        <v>457</v>
      </c>
      <c r="D305" s="766">
        <f>+'Final tb'!C140</f>
        <v>59208423.969999999</v>
      </c>
      <c r="E305" s="755">
        <v>0</v>
      </c>
      <c r="F305" s="887"/>
      <c r="G305" s="755">
        <v>39521467</v>
      </c>
    </row>
    <row r="306" spans="1:7" x14ac:dyDescent="0.25">
      <c r="A306" s="691"/>
      <c r="B306" s="695"/>
      <c r="C306" s="691"/>
      <c r="D306" s="756"/>
      <c r="E306" s="756"/>
      <c r="F306" s="887"/>
    </row>
    <row r="307" spans="1:7" ht="14.4" thickBot="1" x14ac:dyDescent="0.3">
      <c r="A307" s="691"/>
      <c r="B307" s="693"/>
      <c r="C307" s="699" t="s">
        <v>1792</v>
      </c>
      <c r="D307" s="853">
        <f>SUM(D304:D305)</f>
        <v>59208423.969999999</v>
      </c>
      <c r="E307" s="853">
        <f>SUM(E304:E305)</f>
        <v>0</v>
      </c>
      <c r="F307" s="888"/>
      <c r="G307" s="889">
        <f>SUM(G304:G305)</f>
        <v>39990113</v>
      </c>
    </row>
    <row r="308" spans="1:7" ht="60.75" customHeight="1" thickTop="1" x14ac:dyDescent="0.25">
      <c r="A308" s="691"/>
      <c r="B308" s="2033" t="s">
        <v>1798</v>
      </c>
      <c r="C308" s="2033"/>
      <c r="D308" s="2034"/>
      <c r="E308" s="2034"/>
      <c r="F308" s="2034"/>
      <c r="G308" s="2034"/>
    </row>
    <row r="309" spans="1:7" x14ac:dyDescent="0.25">
      <c r="A309" s="691"/>
      <c r="B309" s="900" t="s">
        <v>1829</v>
      </c>
      <c r="C309" s="891"/>
      <c r="D309" s="891"/>
      <c r="E309" s="891"/>
      <c r="F309" s="891"/>
      <c r="G309" s="891"/>
    </row>
    <row r="310" spans="1:7" ht="27.6" x14ac:dyDescent="0.25">
      <c r="A310" s="691"/>
      <c r="B310" s="891"/>
      <c r="C310" s="897"/>
      <c r="D310" s="898" t="str">
        <f>D296</f>
        <v>As at 31st March 2020</v>
      </c>
      <c r="E310" s="898" t="str">
        <f>F296</f>
        <v>As at 31st March 2019</v>
      </c>
      <c r="F310" s="891"/>
      <c r="G310" s="891"/>
    </row>
    <row r="311" spans="1:7" ht="27.6" x14ac:dyDescent="0.25">
      <c r="A311" s="691"/>
      <c r="B311" s="891"/>
      <c r="C311" s="895" t="s">
        <v>1828</v>
      </c>
      <c r="D311" s="896">
        <f>D307</f>
        <v>59208423.969999999</v>
      </c>
      <c r="E311" s="896">
        <f>G307</f>
        <v>39990113</v>
      </c>
      <c r="F311" s="891"/>
      <c r="G311" s="891"/>
    </row>
    <row r="312" spans="1:7" ht="27.6" x14ac:dyDescent="0.25">
      <c r="A312" s="691"/>
      <c r="B312" s="891"/>
      <c r="C312" s="895" t="s">
        <v>1830</v>
      </c>
      <c r="D312" s="899">
        <v>0</v>
      </c>
      <c r="E312" s="899">
        <v>0</v>
      </c>
      <c r="F312" s="891"/>
      <c r="G312" s="891"/>
    </row>
    <row r="313" spans="1:7" ht="41.4" x14ac:dyDescent="0.25">
      <c r="A313" s="691"/>
      <c r="B313" s="891"/>
      <c r="C313" s="895" t="s">
        <v>1831</v>
      </c>
      <c r="D313" s="899">
        <v>0</v>
      </c>
      <c r="E313" s="899">
        <v>0</v>
      </c>
      <c r="F313" s="891"/>
      <c r="G313" s="891"/>
    </row>
    <row r="314" spans="1:7" ht="41.4" x14ac:dyDescent="0.25">
      <c r="A314" s="691"/>
      <c r="B314" s="891"/>
      <c r="C314" s="895" t="s">
        <v>1832</v>
      </c>
      <c r="D314" s="899">
        <v>0</v>
      </c>
      <c r="E314" s="899">
        <v>0</v>
      </c>
      <c r="F314" s="891"/>
      <c r="G314" s="891"/>
    </row>
    <row r="315" spans="1:7" ht="27.6" x14ac:dyDescent="0.25">
      <c r="A315" s="691"/>
      <c r="B315" s="891"/>
      <c r="C315" s="899" t="s">
        <v>1833</v>
      </c>
      <c r="D315" s="899">
        <v>0</v>
      </c>
      <c r="E315" s="899">
        <v>0</v>
      </c>
      <c r="F315" s="891"/>
      <c r="G315" s="891"/>
    </row>
    <row r="316" spans="1:7" ht="27.6" x14ac:dyDescent="0.25">
      <c r="A316" s="691"/>
      <c r="B316" s="891"/>
      <c r="C316" s="895" t="s">
        <v>1834</v>
      </c>
      <c r="D316" s="899">
        <v>0</v>
      </c>
      <c r="E316" s="899">
        <v>0</v>
      </c>
      <c r="F316" s="891"/>
      <c r="G316" s="891"/>
    </row>
    <row r="317" spans="1:7" x14ac:dyDescent="0.25">
      <c r="A317" s="691"/>
      <c r="B317" s="691"/>
      <c r="C317" s="691"/>
      <c r="D317" s="762"/>
      <c r="E317" s="762"/>
    </row>
    <row r="318" spans="1:7" x14ac:dyDescent="0.25">
      <c r="A318" s="691"/>
      <c r="B318" s="692" t="s">
        <v>1795</v>
      </c>
      <c r="C318" s="692" t="s">
        <v>1797</v>
      </c>
      <c r="D318" s="759"/>
      <c r="E318" s="759"/>
    </row>
    <row r="319" spans="1:7" x14ac:dyDescent="0.25">
      <c r="A319" s="691"/>
      <c r="B319" s="858"/>
      <c r="C319" s="2035"/>
      <c r="D319" s="2032" t="str">
        <f>D333</f>
        <v>As at 31st March 2020</v>
      </c>
      <c r="E319" s="2032"/>
      <c r="F319" s="2032" t="str">
        <f>E333</f>
        <v>As at 31st March 2019</v>
      </c>
      <c r="G319" s="2032"/>
    </row>
    <row r="320" spans="1:7" x14ac:dyDescent="0.25">
      <c r="A320" s="691"/>
      <c r="B320" s="859"/>
      <c r="C320" s="2036"/>
      <c r="D320" s="852" t="s">
        <v>1752</v>
      </c>
      <c r="E320" s="852" t="s">
        <v>450</v>
      </c>
      <c r="F320" s="852" t="s">
        <v>1752</v>
      </c>
      <c r="G320" s="852" t="s">
        <v>450</v>
      </c>
    </row>
    <row r="321" spans="1:7" x14ac:dyDescent="0.25">
      <c r="A321" s="691"/>
      <c r="B321" s="695"/>
      <c r="C321" s="878" t="s">
        <v>1802</v>
      </c>
      <c r="D321" s="880"/>
      <c r="E321" s="880"/>
      <c r="F321" s="880"/>
      <c r="G321" s="880"/>
    </row>
    <row r="322" spans="1:7" x14ac:dyDescent="0.25">
      <c r="A322" s="691"/>
      <c r="B322" s="695"/>
      <c r="C322" s="878" t="s">
        <v>1799</v>
      </c>
      <c r="D322" s="880">
        <v>0</v>
      </c>
      <c r="E322" s="880">
        <v>0</v>
      </c>
      <c r="F322" s="880">
        <v>0</v>
      </c>
      <c r="G322" s="880"/>
    </row>
    <row r="323" spans="1:7" x14ac:dyDescent="0.25">
      <c r="A323" s="691"/>
      <c r="B323" s="695"/>
      <c r="C323" s="878" t="s">
        <v>1800</v>
      </c>
      <c r="D323" s="764">
        <f>+'Final tb'!C56</f>
        <v>6798421</v>
      </c>
      <c r="E323" s="880"/>
      <c r="F323" s="764">
        <v>6980261</v>
      </c>
      <c r="G323" s="880"/>
    </row>
    <row r="324" spans="1:7" x14ac:dyDescent="0.25">
      <c r="A324" s="691"/>
      <c r="B324" s="695"/>
      <c r="C324" s="878" t="s">
        <v>1801</v>
      </c>
      <c r="D324" s="880"/>
      <c r="E324" s="880"/>
      <c r="F324" s="880"/>
      <c r="G324" s="880"/>
    </row>
    <row r="325" spans="1:7" x14ac:dyDescent="0.25">
      <c r="A325" s="691"/>
      <c r="B325" s="695"/>
      <c r="C325" s="707" t="s">
        <v>1803</v>
      </c>
      <c r="D325" s="886"/>
      <c r="E325" s="886"/>
      <c r="F325" s="887"/>
      <c r="G325" s="887"/>
    </row>
    <row r="326" spans="1:7" x14ac:dyDescent="0.25">
      <c r="A326" s="691"/>
      <c r="B326" s="708"/>
      <c r="C326" s="710" t="s">
        <v>1804</v>
      </c>
      <c r="D326" s="763"/>
      <c r="E326" s="763"/>
      <c r="F326" s="887"/>
      <c r="G326" s="887"/>
    </row>
    <row r="327" spans="1:7" x14ac:dyDescent="0.25">
      <c r="A327" s="691"/>
      <c r="B327" s="708"/>
      <c r="C327" s="710" t="s">
        <v>1805</v>
      </c>
      <c r="D327" s="763"/>
      <c r="E327" s="756"/>
      <c r="F327" s="887"/>
      <c r="G327" s="887"/>
    </row>
    <row r="328" spans="1:7" x14ac:dyDescent="0.25">
      <c r="A328" s="691"/>
      <c r="B328" s="708"/>
      <c r="C328" s="698" t="s">
        <v>1806</v>
      </c>
      <c r="D328" s="764"/>
      <c r="E328" s="764"/>
      <c r="F328" s="887"/>
      <c r="G328" s="887"/>
    </row>
    <row r="329" spans="1:7" ht="14.4" thickBot="1" x14ac:dyDescent="0.3">
      <c r="A329" s="691"/>
      <c r="B329" s="693"/>
      <c r="C329" s="699" t="s">
        <v>213</v>
      </c>
      <c r="D329" s="853">
        <f>SUM(D322:D328)</f>
        <v>6798421</v>
      </c>
      <c r="E329" s="853">
        <f>SUM(E322:E328)</f>
        <v>0</v>
      </c>
      <c r="F329" s="853">
        <f>SUM(F322:F328)</f>
        <v>6980261</v>
      </c>
      <c r="G329" s="853">
        <f>SUM(G322:G328)</f>
        <v>0</v>
      </c>
    </row>
    <row r="330" spans="1:7" ht="14.4" thickTop="1" x14ac:dyDescent="0.25">
      <c r="A330" s="691"/>
      <c r="B330" s="691"/>
      <c r="C330" s="691"/>
      <c r="D330" s="762"/>
      <c r="E330" s="762"/>
    </row>
    <row r="331" spans="1:7" x14ac:dyDescent="0.25">
      <c r="A331" s="691"/>
      <c r="B331" s="691"/>
      <c r="C331" s="691"/>
      <c r="D331" s="762"/>
      <c r="E331" s="762"/>
    </row>
    <row r="332" spans="1:7" x14ac:dyDescent="0.25">
      <c r="A332" s="691"/>
      <c r="B332" s="692" t="s">
        <v>1796</v>
      </c>
      <c r="C332" s="692" t="s">
        <v>1807</v>
      </c>
      <c r="D332" s="759"/>
      <c r="E332" s="759"/>
    </row>
    <row r="333" spans="1:7" ht="27.6" x14ac:dyDescent="0.25">
      <c r="A333" s="691"/>
      <c r="B333" s="712"/>
      <c r="C333" s="713"/>
      <c r="D333" s="852" t="str">
        <f>D296</f>
        <v>As at 31st March 2020</v>
      </c>
      <c r="E333" s="852" t="str">
        <f>E248</f>
        <v>As at 31st March 2019</v>
      </c>
    </row>
    <row r="334" spans="1:7" x14ac:dyDescent="0.25">
      <c r="A334" s="691"/>
      <c r="B334" s="708"/>
      <c r="C334" s="709" t="s">
        <v>1808</v>
      </c>
      <c r="D334" s="767"/>
      <c r="E334" s="767"/>
    </row>
    <row r="335" spans="1:7" x14ac:dyDescent="0.25">
      <c r="A335" s="691"/>
      <c r="B335" s="708"/>
      <c r="C335" s="710" t="s">
        <v>1809</v>
      </c>
      <c r="D335" s="756">
        <f>+'Final tb'!C64</f>
        <v>16231885.800000001</v>
      </c>
      <c r="E335" s="756">
        <v>6196019</v>
      </c>
    </row>
    <row r="336" spans="1:7" x14ac:dyDescent="0.25">
      <c r="A336" s="691"/>
      <c r="B336" s="708"/>
      <c r="C336" s="890" t="s">
        <v>1811</v>
      </c>
      <c r="D336" s="756"/>
      <c r="E336" s="756"/>
    </row>
    <row r="337" spans="1:5" x14ac:dyDescent="0.25">
      <c r="A337" s="691"/>
      <c r="B337" s="708"/>
      <c r="C337" s="702" t="s">
        <v>1814</v>
      </c>
      <c r="D337" s="756"/>
      <c r="E337" s="756"/>
    </row>
    <row r="338" spans="1:5" x14ac:dyDescent="0.25">
      <c r="A338" s="674"/>
      <c r="B338" s="653"/>
      <c r="C338" s="561" t="s">
        <v>1815</v>
      </c>
      <c r="D338" s="676">
        <f>+'Final tb'!C49</f>
        <v>2338556</v>
      </c>
      <c r="E338" s="676">
        <v>398768</v>
      </c>
    </row>
    <row r="339" spans="1:5" x14ac:dyDescent="0.25">
      <c r="A339" s="674"/>
      <c r="B339" s="653"/>
      <c r="C339" s="561" t="s">
        <v>1816</v>
      </c>
      <c r="D339" s="676">
        <f>+'Final tb'!C46</f>
        <v>926262.85</v>
      </c>
      <c r="E339" s="676">
        <v>952732</v>
      </c>
    </row>
    <row r="340" spans="1:5" x14ac:dyDescent="0.25">
      <c r="A340" s="674"/>
      <c r="B340" s="653"/>
      <c r="C340" s="561" t="s">
        <v>1817</v>
      </c>
      <c r="D340" s="676">
        <f>+'Final tb'!C63</f>
        <v>4269003</v>
      </c>
      <c r="E340" s="676">
        <v>4272807</v>
      </c>
    </row>
    <row r="341" spans="1:5" x14ac:dyDescent="0.25">
      <c r="A341" s="674"/>
      <c r="B341" s="655"/>
      <c r="C341" s="561" t="s">
        <v>1818</v>
      </c>
      <c r="D341" s="676">
        <f>+'Final tb'!C40+'Final tb'!C41+'Final tb'!C42+'Final tb'!C59</f>
        <v>1127357.3699999999</v>
      </c>
      <c r="E341" s="676">
        <v>196703</v>
      </c>
    </row>
    <row r="342" spans="1:5" x14ac:dyDescent="0.25">
      <c r="A342" s="691"/>
      <c r="B342" s="708"/>
      <c r="C342" s="710" t="s">
        <v>1810</v>
      </c>
      <c r="D342" s="756">
        <f>+'Final tb'!C50+'Final tb'!C51+'Final tb'!C52+'Final tb'!C53+'Final tb'!C45+'Final tb'!C60</f>
        <v>4114093.4</v>
      </c>
      <c r="E342" s="756">
        <v>4345104</v>
      </c>
    </row>
    <row r="343" spans="1:5" x14ac:dyDescent="0.25">
      <c r="A343" s="560"/>
      <c r="B343" s="653"/>
      <c r="C343" s="560" t="s">
        <v>1812</v>
      </c>
      <c r="D343" s="756">
        <f>+'Final tb'!C69</f>
        <v>0</v>
      </c>
      <c r="E343" s="676">
        <v>600000</v>
      </c>
    </row>
    <row r="344" spans="1:5" x14ac:dyDescent="0.25">
      <c r="A344" s="560"/>
      <c r="B344" s="653"/>
      <c r="C344" s="561" t="s">
        <v>1813</v>
      </c>
      <c r="D344" s="676">
        <f>+'Final tb'!C67</f>
        <v>840000</v>
      </c>
      <c r="E344" s="676">
        <v>840000</v>
      </c>
    </row>
    <row r="345" spans="1:5" x14ac:dyDescent="0.25">
      <c r="A345" s="674"/>
      <c r="B345" s="653"/>
      <c r="C345" s="561" t="s">
        <v>1819</v>
      </c>
      <c r="D345" s="676">
        <f>+'Final tb'!C54</f>
        <v>1500000</v>
      </c>
      <c r="E345" s="676">
        <v>1389021</v>
      </c>
    </row>
    <row r="346" spans="1:5" x14ac:dyDescent="0.25">
      <c r="A346" s="674"/>
      <c r="B346" s="653"/>
      <c r="C346" s="561" t="s">
        <v>1822</v>
      </c>
      <c r="D346" s="676">
        <f>+'Final tb'!C48</f>
        <v>2046508.23</v>
      </c>
      <c r="E346" s="676">
        <v>867472</v>
      </c>
    </row>
    <row r="347" spans="1:5" x14ac:dyDescent="0.25">
      <c r="A347" s="674"/>
      <c r="B347" s="653"/>
      <c r="C347" s="561" t="s">
        <v>1823</v>
      </c>
      <c r="D347" s="676">
        <f>+'Final tb'!C58+'Final tb'!C62+'Final tb'!C39</f>
        <v>4087948</v>
      </c>
      <c r="E347" s="676">
        <f>3541693+332750</f>
        <v>3874443</v>
      </c>
    </row>
    <row r="348" spans="1:5" x14ac:dyDescent="0.25">
      <c r="A348" s="674"/>
      <c r="B348" s="653"/>
      <c r="C348" s="561" t="s">
        <v>1824</v>
      </c>
      <c r="D348" s="676">
        <f>+'Final tb'!C65</f>
        <v>130000</v>
      </c>
      <c r="E348" s="676">
        <v>130000</v>
      </c>
    </row>
    <row r="349" spans="1:5" x14ac:dyDescent="0.25">
      <c r="A349" s="674"/>
      <c r="B349" s="653"/>
      <c r="C349" s="561" t="s">
        <v>1821</v>
      </c>
      <c r="D349" s="676">
        <f>+'Final tb'!C44+'Final tb'!C47+'Final tb'!C68+'Final tb'!C34</f>
        <v>2229591.2799999998</v>
      </c>
      <c r="E349" s="676">
        <v>1287518</v>
      </c>
    </row>
    <row r="350" spans="1:5" x14ac:dyDescent="0.25">
      <c r="A350" s="674"/>
      <c r="B350" s="653"/>
      <c r="C350" s="561" t="s">
        <v>1820</v>
      </c>
      <c r="D350" s="676">
        <f>+'Final tb'!C71</f>
        <v>180000</v>
      </c>
      <c r="E350" s="676">
        <v>400000</v>
      </c>
    </row>
    <row r="351" spans="1:5" x14ac:dyDescent="0.25">
      <c r="A351" s="674"/>
      <c r="B351" s="653"/>
      <c r="C351" s="561" t="s">
        <v>582</v>
      </c>
      <c r="D351" s="676"/>
      <c r="E351" s="676">
        <v>140000000</v>
      </c>
    </row>
    <row r="352" spans="1:5" x14ac:dyDescent="0.25">
      <c r="A352" s="674"/>
      <c r="B352" s="687"/>
      <c r="C352" s="714" t="s">
        <v>213</v>
      </c>
      <c r="D352" s="752">
        <f>SUM(D335:D350)</f>
        <v>40021205.930000007</v>
      </c>
      <c r="E352" s="752">
        <f>SUM(E335:E351)</f>
        <v>165750587</v>
      </c>
    </row>
    <row r="353" spans="1:5" x14ac:dyDescent="0.25">
      <c r="A353" s="674"/>
      <c r="B353" s="560"/>
      <c r="C353" s="658"/>
      <c r="D353" s="724"/>
      <c r="E353" s="724"/>
    </row>
    <row r="354" spans="1:5" x14ac:dyDescent="0.25">
      <c r="A354" s="560"/>
    </row>
  </sheetData>
  <mergeCells count="19">
    <mergeCell ref="C319:C320"/>
    <mergeCell ref="D319:E319"/>
    <mergeCell ref="F319:G319"/>
    <mergeCell ref="A2:E2"/>
    <mergeCell ref="A3:E3"/>
    <mergeCell ref="C268:E268"/>
    <mergeCell ref="B182:E182"/>
    <mergeCell ref="D197:E197"/>
    <mergeCell ref="C197:C198"/>
    <mergeCell ref="A194:G194"/>
    <mergeCell ref="A195:G195"/>
    <mergeCell ref="I260:J260"/>
    <mergeCell ref="F197:G197"/>
    <mergeCell ref="D296:E296"/>
    <mergeCell ref="F296:G296"/>
    <mergeCell ref="B308:G308"/>
    <mergeCell ref="C271:C272"/>
    <mergeCell ref="D271:E271"/>
    <mergeCell ref="F271:G271"/>
  </mergeCells>
  <pageMargins left="0.37" right="0.25" top="0.47" bottom="0.47" header="0.3" footer="0.3"/>
  <pageSetup paperSize="9" scale="59" fitToHeight="8" orientation="portrait" r:id="rId1"/>
  <rowBreaks count="1" manualBreakCount="1">
    <brk id="331" max="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37"/>
  <sheetViews>
    <sheetView workbookViewId="0">
      <selection activeCell="D19" sqref="D19"/>
    </sheetView>
  </sheetViews>
  <sheetFormatPr defaultColWidth="8.88671875" defaultRowHeight="13.8" x14ac:dyDescent="0.25"/>
  <cols>
    <col min="1" max="1" width="54" style="550" customWidth="1"/>
    <col min="2" max="5" width="20.44140625" style="550" customWidth="1"/>
    <col min="6" max="7" width="15.6640625" style="550" customWidth="1"/>
    <col min="8" max="16384" width="8.88671875" style="550"/>
  </cols>
  <sheetData>
    <row r="2" spans="1:5" x14ac:dyDescent="0.25">
      <c r="A2" s="2043" t="str">
        <f>'sch 12-12.2'!B2</f>
        <v>Arunjyoti Bio Ventures Limited</v>
      </c>
      <c r="B2" s="2043"/>
      <c r="C2" s="2043"/>
      <c r="D2" s="2043"/>
      <c r="E2" s="2043"/>
    </row>
    <row r="3" spans="1:5" x14ac:dyDescent="0.25">
      <c r="A3" s="616" t="s">
        <v>1638</v>
      </c>
      <c r="E3" s="622" t="s">
        <v>460</v>
      </c>
    </row>
    <row r="4" spans="1:5" ht="28.5" customHeight="1" x14ac:dyDescent="0.25">
      <c r="A4" s="1020"/>
      <c r="B4" s="2046" t="s">
        <v>1639</v>
      </c>
      <c r="C4" s="2047"/>
      <c r="D4" s="2046" t="s">
        <v>1640</v>
      </c>
      <c r="E4" s="2047"/>
    </row>
    <row r="5" spans="1:5" x14ac:dyDescent="0.25">
      <c r="A5" s="1127" t="s">
        <v>215</v>
      </c>
      <c r="B5" s="643">
        <f>Sch!F370</f>
        <v>0</v>
      </c>
      <c r="C5" s="643">
        <f>Sch!G370</f>
        <v>0</v>
      </c>
      <c r="D5" s="643">
        <f>B5</f>
        <v>0</v>
      </c>
      <c r="E5" s="643">
        <f>C5</f>
        <v>0</v>
      </c>
    </row>
    <row r="6" spans="1:5" x14ac:dyDescent="0.25">
      <c r="A6" s="1131" t="s">
        <v>1664</v>
      </c>
      <c r="B6" s="1136"/>
      <c r="C6" s="1129"/>
      <c r="D6" s="1136"/>
      <c r="E6" s="1134"/>
    </row>
    <row r="7" spans="1:5" x14ac:dyDescent="0.25">
      <c r="A7" s="1132" t="s">
        <v>1641</v>
      </c>
      <c r="B7" s="1135"/>
      <c r="C7" s="1130"/>
      <c r="D7" s="1137"/>
      <c r="E7" s="1137"/>
    </row>
    <row r="8" spans="1:5" x14ac:dyDescent="0.25">
      <c r="A8" s="1132" t="s">
        <v>1642</v>
      </c>
      <c r="B8" s="1135"/>
      <c r="C8" s="1130"/>
      <c r="D8" s="1137"/>
      <c r="E8" s="1137"/>
    </row>
    <row r="9" spans="1:5" ht="15.75" customHeight="1" x14ac:dyDescent="0.25">
      <c r="A9" s="1132" t="s">
        <v>1643</v>
      </c>
      <c r="B9" s="1135">
        <v>0</v>
      </c>
      <c r="C9" s="1130">
        <v>0</v>
      </c>
      <c r="D9" s="1137"/>
      <c r="E9" s="1137"/>
    </row>
    <row r="10" spans="1:5" x14ac:dyDescent="0.25">
      <c r="A10" s="1132" t="s">
        <v>267</v>
      </c>
      <c r="B10" s="1135"/>
      <c r="C10" s="1130"/>
      <c r="D10" s="1137"/>
      <c r="E10" s="1137"/>
    </row>
    <row r="11" spans="1:5" x14ac:dyDescent="0.25">
      <c r="A11" s="1133" t="s">
        <v>1665</v>
      </c>
      <c r="B11" s="1136"/>
      <c r="C11" s="1129"/>
      <c r="D11" s="1136"/>
      <c r="E11" s="1136"/>
    </row>
    <row r="12" spans="1:5" x14ac:dyDescent="0.25">
      <c r="A12" s="1132" t="s">
        <v>1644</v>
      </c>
      <c r="B12" s="1135"/>
      <c r="C12" s="1130"/>
      <c r="D12" s="1137"/>
      <c r="E12" s="1137"/>
    </row>
    <row r="13" spans="1:5" x14ac:dyDescent="0.25">
      <c r="A13" s="1132" t="s">
        <v>267</v>
      </c>
      <c r="B13" s="1135"/>
      <c r="C13" s="1130"/>
      <c r="D13" s="1137"/>
      <c r="E13" s="1137"/>
    </row>
    <row r="14" spans="1:5" x14ac:dyDescent="0.25">
      <c r="A14" s="1128" t="s">
        <v>213</v>
      </c>
      <c r="B14" s="1126">
        <f>SUM(B7:B13)</f>
        <v>0</v>
      </c>
      <c r="C14" s="1138">
        <f t="shared" ref="C14:E14" si="0">SUM(C7:C13)</f>
        <v>0</v>
      </c>
      <c r="D14" s="1126">
        <f t="shared" si="0"/>
        <v>0</v>
      </c>
      <c r="E14" s="1126">
        <f t="shared" si="0"/>
        <v>0</v>
      </c>
    </row>
    <row r="15" spans="1:5" x14ac:dyDescent="0.25">
      <c r="A15" s="645"/>
    </row>
    <row r="16" spans="1:5" ht="28.5" customHeight="1" x14ac:dyDescent="0.25">
      <c r="A16" s="2044" t="s">
        <v>1663</v>
      </c>
      <c r="B16" s="2044"/>
      <c r="C16" s="2044"/>
      <c r="D16" s="2045"/>
      <c r="E16" s="2045"/>
    </row>
    <row r="17" spans="1:5" ht="41.4" x14ac:dyDescent="0.25">
      <c r="A17" s="1148" t="s">
        <v>215</v>
      </c>
      <c r="B17" s="1149"/>
      <c r="C17" s="1056"/>
      <c r="D17" s="643" t="s">
        <v>1661</v>
      </c>
      <c r="E17" s="643" t="s">
        <v>1662</v>
      </c>
    </row>
    <row r="18" spans="1:5" x14ac:dyDescent="0.25">
      <c r="A18" s="1143" t="s">
        <v>1645</v>
      </c>
      <c r="C18" s="867"/>
      <c r="D18" s="1140"/>
      <c r="E18" s="1150"/>
    </row>
    <row r="19" spans="1:5" ht="27.6" x14ac:dyDescent="0.25">
      <c r="A19" s="1144" t="s">
        <v>1827</v>
      </c>
      <c r="C19" s="867"/>
      <c r="D19" s="1141">
        <v>25</v>
      </c>
      <c r="E19" s="1151">
        <v>25</v>
      </c>
    </row>
    <row r="20" spans="1:5" ht="27.6" x14ac:dyDescent="0.25">
      <c r="A20" s="1144" t="s">
        <v>1646</v>
      </c>
      <c r="C20" s="867"/>
      <c r="D20" s="1141">
        <v>0</v>
      </c>
      <c r="E20" s="1151"/>
    </row>
    <row r="21" spans="1:5" x14ac:dyDescent="0.25">
      <c r="A21" s="1144" t="s">
        <v>1647</v>
      </c>
      <c r="C21" s="867"/>
      <c r="D21" s="1141">
        <v>0</v>
      </c>
      <c r="E21" s="1151"/>
    </row>
    <row r="22" spans="1:5" x14ac:dyDescent="0.25">
      <c r="A22" s="1144" t="s">
        <v>1648</v>
      </c>
      <c r="C22" s="867"/>
      <c r="D22" s="1141">
        <v>0</v>
      </c>
      <c r="E22" s="1151"/>
    </row>
    <row r="23" spans="1:5" x14ac:dyDescent="0.25">
      <c r="A23" s="1144" t="s">
        <v>1649</v>
      </c>
      <c r="C23" s="867"/>
      <c r="D23" s="1141">
        <v>0</v>
      </c>
      <c r="E23" s="1151"/>
    </row>
    <row r="24" spans="1:5" x14ac:dyDescent="0.25">
      <c r="A24" s="1145" t="s">
        <v>1650</v>
      </c>
      <c r="B24" s="1146"/>
      <c r="C24" s="1147"/>
      <c r="D24" s="1152">
        <f>SUM(D18:D23)</f>
        <v>25</v>
      </c>
      <c r="E24" s="644">
        <f>SUM(E18:E23)</f>
        <v>25</v>
      </c>
    </row>
    <row r="25" spans="1:5" x14ac:dyDescent="0.25">
      <c r="A25" s="621" t="s">
        <v>1666</v>
      </c>
    </row>
    <row r="26" spans="1:5" ht="27.6" x14ac:dyDescent="0.25">
      <c r="A26" s="1148" t="s">
        <v>215</v>
      </c>
      <c r="B26" s="1149"/>
      <c r="C26" s="1149"/>
      <c r="D26" s="1019" t="s">
        <v>1331</v>
      </c>
      <c r="E26" s="1153" t="s">
        <v>583</v>
      </c>
    </row>
    <row r="27" spans="1:5" x14ac:dyDescent="0.25">
      <c r="A27" s="1143" t="s">
        <v>1651</v>
      </c>
      <c r="D27" s="1157"/>
      <c r="E27" s="1154"/>
    </row>
    <row r="28" spans="1:5" x14ac:dyDescent="0.25">
      <c r="A28" s="1144" t="s">
        <v>1652</v>
      </c>
      <c r="D28" s="1151"/>
      <c r="E28" s="1155"/>
    </row>
    <row r="29" spans="1:5" ht="27.6" x14ac:dyDescent="0.25">
      <c r="A29" s="1144" t="s">
        <v>1653</v>
      </c>
      <c r="D29" s="1151"/>
      <c r="E29" s="1155"/>
    </row>
    <row r="30" spans="1:5" x14ac:dyDescent="0.25">
      <c r="A30" s="1144" t="s">
        <v>1654</v>
      </c>
      <c r="D30" s="1151"/>
      <c r="E30" s="1155"/>
    </row>
    <row r="31" spans="1:5" ht="27.6" x14ac:dyDescent="0.25">
      <c r="A31" s="1144" t="s">
        <v>1655</v>
      </c>
      <c r="D31" s="1151"/>
      <c r="E31" s="1155"/>
    </row>
    <row r="32" spans="1:5" x14ac:dyDescent="0.25">
      <c r="A32" s="1143" t="s">
        <v>1656</v>
      </c>
      <c r="D32" s="1157"/>
      <c r="E32" s="1154"/>
    </row>
    <row r="33" spans="1:5" ht="27.6" x14ac:dyDescent="0.25">
      <c r="A33" s="1144" t="s">
        <v>1657</v>
      </c>
      <c r="D33" s="1151"/>
      <c r="E33" s="1155"/>
    </row>
    <row r="34" spans="1:5" x14ac:dyDescent="0.25">
      <c r="A34" s="1144" t="s">
        <v>1658</v>
      </c>
      <c r="D34" s="1151"/>
      <c r="E34" s="1155"/>
    </row>
    <row r="35" spans="1:5" x14ac:dyDescent="0.25">
      <c r="A35" s="1144" t="s">
        <v>1659</v>
      </c>
      <c r="D35" s="1151"/>
      <c r="E35" s="1155"/>
    </row>
    <row r="36" spans="1:5" ht="27.6" x14ac:dyDescent="0.25">
      <c r="A36" s="1144" t="s">
        <v>1974</v>
      </c>
      <c r="D36" s="1151"/>
      <c r="E36" s="1155"/>
    </row>
    <row r="37" spans="1:5" x14ac:dyDescent="0.25">
      <c r="A37" s="1156" t="s">
        <v>1660</v>
      </c>
      <c r="B37" s="1146"/>
      <c r="C37" s="1146"/>
      <c r="D37" s="1139"/>
      <c r="E37" s="1142"/>
    </row>
  </sheetData>
  <mergeCells count="4">
    <mergeCell ref="A2:E2"/>
    <mergeCell ref="A16:E16"/>
    <mergeCell ref="B4:C4"/>
    <mergeCell ref="D4:E4"/>
  </mergeCells>
  <pageMargins left="0.7" right="0.7" top="0.75" bottom="0.75" header="0.3" footer="0.3"/>
  <pageSetup scale="7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32"/>
  <sheetViews>
    <sheetView topLeftCell="A7" workbookViewId="0">
      <selection activeCell="M21" sqref="M21:M24"/>
    </sheetView>
  </sheetViews>
  <sheetFormatPr defaultRowHeight="14.4" x14ac:dyDescent="0.3"/>
  <cols>
    <col min="1" max="1" width="23.88671875" bestFit="1" customWidth="1"/>
    <col min="2" max="2" width="14.5546875" bestFit="1" customWidth="1"/>
    <col min="3" max="3" width="11.5546875" bestFit="1" customWidth="1"/>
    <col min="4" max="4" width="15" bestFit="1" customWidth="1"/>
    <col min="5" max="6" width="14.5546875" bestFit="1" customWidth="1"/>
    <col min="7" max="7" width="13.44140625" bestFit="1" customWidth="1"/>
    <col min="8" max="8" width="15" bestFit="1" customWidth="1"/>
    <col min="9" max="11" width="14.5546875" bestFit="1" customWidth="1"/>
    <col min="13" max="13" width="15.88671875" bestFit="1" customWidth="1"/>
  </cols>
  <sheetData>
    <row r="3" spans="1:11" ht="15.6" x14ac:dyDescent="0.3">
      <c r="A3" s="23"/>
      <c r="B3" s="23"/>
      <c r="C3" s="23"/>
      <c r="D3" s="23"/>
      <c r="E3" s="23"/>
      <c r="F3" s="23"/>
      <c r="G3" s="23"/>
      <c r="H3" s="23"/>
      <c r="I3" s="23"/>
      <c r="J3" s="23"/>
      <c r="K3" s="23"/>
    </row>
    <row r="4" spans="1:11" ht="15.6" x14ac:dyDescent="0.3">
      <c r="A4" s="23"/>
      <c r="B4" s="23"/>
      <c r="C4" s="23"/>
      <c r="D4" s="23"/>
      <c r="E4" s="23"/>
      <c r="F4" s="23"/>
      <c r="G4" s="23"/>
      <c r="H4" s="23"/>
      <c r="I4" s="23"/>
      <c r="J4" s="23"/>
      <c r="K4" s="23"/>
    </row>
    <row r="5" spans="1:11" ht="15.6" x14ac:dyDescent="0.3">
      <c r="A5" s="24" t="s">
        <v>459</v>
      </c>
      <c r="B5" s="24"/>
      <c r="C5" s="23"/>
      <c r="D5" s="23"/>
      <c r="E5" s="23"/>
      <c r="F5" s="23"/>
      <c r="G5" s="23"/>
      <c r="H5" s="23"/>
      <c r="I5" s="23"/>
      <c r="J5" s="23"/>
      <c r="K5" s="23"/>
    </row>
    <row r="6" spans="1:11" ht="15.6" x14ac:dyDescent="0.3">
      <c r="A6" s="159" t="s">
        <v>311</v>
      </c>
      <c r="B6" s="2048" t="s">
        <v>218</v>
      </c>
      <c r="C6" s="2049"/>
      <c r="D6" s="2049"/>
      <c r="E6" s="2050"/>
      <c r="F6" s="2048" t="s">
        <v>214</v>
      </c>
      <c r="G6" s="2049"/>
      <c r="H6" s="2049"/>
      <c r="I6" s="2050"/>
      <c r="J6" s="2048" t="s">
        <v>219</v>
      </c>
      <c r="K6" s="2050"/>
    </row>
    <row r="7" spans="1:11" ht="15.6" x14ac:dyDescent="0.3">
      <c r="A7" s="160"/>
      <c r="B7" s="32" t="s">
        <v>216</v>
      </c>
      <c r="C7" s="24" t="s">
        <v>312</v>
      </c>
      <c r="D7" s="32" t="s">
        <v>313</v>
      </c>
      <c r="E7" s="73" t="s">
        <v>213</v>
      </c>
      <c r="F7" s="32" t="s">
        <v>216</v>
      </c>
      <c r="G7" s="73" t="s">
        <v>314</v>
      </c>
      <c r="H7" s="27" t="s">
        <v>313</v>
      </c>
      <c r="I7" s="32" t="s">
        <v>213</v>
      </c>
      <c r="J7" s="73" t="s">
        <v>315</v>
      </c>
      <c r="K7" s="32" t="s">
        <v>315</v>
      </c>
    </row>
    <row r="8" spans="1:11" ht="15.6" x14ac:dyDescent="0.3">
      <c r="A8" s="161"/>
      <c r="B8" s="75">
        <v>43191</v>
      </c>
      <c r="C8" s="76"/>
      <c r="D8" s="77" t="s">
        <v>316</v>
      </c>
      <c r="E8" s="78"/>
      <c r="F8" s="75">
        <v>43191</v>
      </c>
      <c r="G8" s="79" t="s">
        <v>317</v>
      </c>
      <c r="H8" s="77" t="s">
        <v>316</v>
      </c>
      <c r="I8" s="77"/>
      <c r="J8" s="80">
        <v>43373</v>
      </c>
      <c r="K8" s="75">
        <v>43190</v>
      </c>
    </row>
    <row r="9" spans="1:11" ht="15.6" x14ac:dyDescent="0.3">
      <c r="A9" s="82"/>
      <c r="B9" s="82"/>
      <c r="C9" s="23"/>
      <c r="D9" s="82"/>
      <c r="E9" s="23"/>
      <c r="F9" s="82"/>
      <c r="G9" s="23"/>
      <c r="H9" s="82"/>
      <c r="I9" s="82"/>
      <c r="J9" s="174"/>
      <c r="K9" s="173"/>
    </row>
    <row r="10" spans="1:11" ht="15.6" x14ac:dyDescent="0.3">
      <c r="A10" s="82" t="s">
        <v>318</v>
      </c>
      <c r="B10" s="162">
        <v>79050000</v>
      </c>
      <c r="C10" s="90">
        <v>0</v>
      </c>
      <c r="D10" s="162">
        <v>0</v>
      </c>
      <c r="E10" s="90">
        <f>B10+C10-D10</f>
        <v>79050000</v>
      </c>
      <c r="F10" s="162">
        <v>0</v>
      </c>
      <c r="G10" s="90">
        <v>0</v>
      </c>
      <c r="H10" s="162">
        <v>0</v>
      </c>
      <c r="I10" s="162">
        <f t="shared" ref="I10:I18" si="0">+F10+G10-H10</f>
        <v>0</v>
      </c>
      <c r="J10" s="162">
        <f>+E10-I10</f>
        <v>79050000</v>
      </c>
      <c r="K10" s="172">
        <v>79050000</v>
      </c>
    </row>
    <row r="11" spans="1:11" ht="15.6" x14ac:dyDescent="0.3">
      <c r="A11" s="82" t="s">
        <v>319</v>
      </c>
      <c r="B11" s="162">
        <v>65130130</v>
      </c>
      <c r="C11" s="90">
        <v>0</v>
      </c>
      <c r="D11" s="162">
        <v>0</v>
      </c>
      <c r="E11" s="90">
        <f t="shared" ref="E11:E18" si="1">B11+C11-D11</f>
        <v>65130130</v>
      </c>
      <c r="F11" s="162">
        <v>24572011.438319374</v>
      </c>
      <c r="G11" s="163">
        <v>0</v>
      </c>
      <c r="H11" s="162">
        <v>0</v>
      </c>
      <c r="I11" s="162">
        <f t="shared" si="0"/>
        <v>24572011.438319374</v>
      </c>
      <c r="J11" s="162">
        <f t="shared" ref="J11:J18" si="2">+E11-I11</f>
        <v>40558118.56168063</v>
      </c>
      <c r="K11" s="172">
        <v>40558118.56168063</v>
      </c>
    </row>
    <row r="12" spans="1:11" ht="15.6" x14ac:dyDescent="0.3">
      <c r="A12" s="82" t="s">
        <v>320</v>
      </c>
      <c r="B12" s="162">
        <v>268495574</v>
      </c>
      <c r="C12" s="90">
        <v>0</v>
      </c>
      <c r="D12" s="162">
        <v>0</v>
      </c>
      <c r="E12" s="90">
        <f t="shared" si="1"/>
        <v>268495574</v>
      </c>
      <c r="F12" s="162">
        <v>191409853.59775975</v>
      </c>
      <c r="G12" s="163">
        <v>0</v>
      </c>
      <c r="H12" s="162">
        <v>0</v>
      </c>
      <c r="I12" s="162">
        <f t="shared" si="0"/>
        <v>191409853.59775975</v>
      </c>
      <c r="J12" s="162">
        <f t="shared" si="2"/>
        <v>77085720.402240247</v>
      </c>
      <c r="K12" s="172">
        <v>77085720.402240247</v>
      </c>
    </row>
    <row r="13" spans="1:11" ht="15.6" x14ac:dyDescent="0.3">
      <c r="A13" s="82" t="s">
        <v>321</v>
      </c>
      <c r="B13" s="162">
        <v>19425551</v>
      </c>
      <c r="C13" s="90">
        <v>0</v>
      </c>
      <c r="D13" s="162">
        <v>0</v>
      </c>
      <c r="E13" s="90">
        <f t="shared" si="1"/>
        <v>19425551</v>
      </c>
      <c r="F13" s="162">
        <v>18018962.265604064</v>
      </c>
      <c r="G13" s="163">
        <v>0</v>
      </c>
      <c r="H13" s="162">
        <v>0</v>
      </c>
      <c r="I13" s="162">
        <f t="shared" si="0"/>
        <v>18018962.265604064</v>
      </c>
      <c r="J13" s="162">
        <f t="shared" si="2"/>
        <v>1406588.7343959361</v>
      </c>
      <c r="K13" s="172">
        <v>1406588.7343959361</v>
      </c>
    </row>
    <row r="14" spans="1:11" ht="15.6" x14ac:dyDescent="0.3">
      <c r="A14" s="82" t="s">
        <v>322</v>
      </c>
      <c r="B14" s="162">
        <v>8086382</v>
      </c>
      <c r="C14" s="90"/>
      <c r="D14" s="162">
        <v>0</v>
      </c>
      <c r="E14" s="90">
        <f t="shared" si="1"/>
        <v>8086382</v>
      </c>
      <c r="F14" s="162">
        <v>7045556.9079161203</v>
      </c>
      <c r="G14" s="163">
        <v>0</v>
      </c>
      <c r="H14" s="162">
        <v>0</v>
      </c>
      <c r="I14" s="162">
        <f t="shared" si="0"/>
        <v>7045556.9079161203</v>
      </c>
      <c r="J14" s="162">
        <f t="shared" si="2"/>
        <v>1040825.0920838797</v>
      </c>
      <c r="K14" s="172">
        <v>1040825.0920838797</v>
      </c>
    </row>
    <row r="15" spans="1:11" ht="15.6" x14ac:dyDescent="0.3">
      <c r="A15" s="82" t="s">
        <v>323</v>
      </c>
      <c r="B15" s="162">
        <v>1895096</v>
      </c>
      <c r="C15" s="90">
        <v>0</v>
      </c>
      <c r="D15" s="162">
        <v>0</v>
      </c>
      <c r="E15" s="90">
        <f t="shared" si="1"/>
        <v>1895096</v>
      </c>
      <c r="F15" s="162">
        <v>1850942.8265213443</v>
      </c>
      <c r="G15" s="163">
        <v>0</v>
      </c>
      <c r="H15" s="162">
        <v>0</v>
      </c>
      <c r="I15" s="162">
        <f t="shared" si="0"/>
        <v>1850942.8265213443</v>
      </c>
      <c r="J15" s="162">
        <f t="shared" si="2"/>
        <v>44153.17347865575</v>
      </c>
      <c r="K15" s="172">
        <v>44153.17347865575</v>
      </c>
    </row>
    <row r="16" spans="1:11" ht="15.6" x14ac:dyDescent="0.3">
      <c r="A16" s="82" t="s">
        <v>324</v>
      </c>
      <c r="B16" s="162">
        <v>1441408</v>
      </c>
      <c r="C16" s="90">
        <v>0</v>
      </c>
      <c r="D16" s="162">
        <v>0</v>
      </c>
      <c r="E16" s="90">
        <f t="shared" si="1"/>
        <v>1441408</v>
      </c>
      <c r="F16" s="162">
        <v>1434492.15</v>
      </c>
      <c r="G16" s="163">
        <v>0</v>
      </c>
      <c r="H16" s="162">
        <v>0</v>
      </c>
      <c r="I16" s="162">
        <f t="shared" si="0"/>
        <v>1434492.15</v>
      </c>
      <c r="J16" s="162">
        <f t="shared" si="2"/>
        <v>6915.8500000000931</v>
      </c>
      <c r="K16" s="172">
        <v>6915.8500000000931</v>
      </c>
    </row>
    <row r="17" spans="1:13" ht="15.6" x14ac:dyDescent="0.3">
      <c r="A17" s="82" t="s">
        <v>325</v>
      </c>
      <c r="B17" s="162">
        <v>2586171</v>
      </c>
      <c r="C17" s="90">
        <v>0</v>
      </c>
      <c r="D17" s="162">
        <v>0</v>
      </c>
      <c r="E17" s="90">
        <f t="shared" si="1"/>
        <v>2586171</v>
      </c>
      <c r="F17" s="162">
        <v>2554809.2145825475</v>
      </c>
      <c r="G17" s="163">
        <v>0</v>
      </c>
      <c r="H17" s="162">
        <v>0</v>
      </c>
      <c r="I17" s="162">
        <f t="shared" si="0"/>
        <v>2554809.2145825475</v>
      </c>
      <c r="J17" s="162">
        <f t="shared" si="2"/>
        <v>31361.785417452455</v>
      </c>
      <c r="K17" s="172">
        <v>31361.785417452455</v>
      </c>
    </row>
    <row r="18" spans="1:13" ht="15.6" x14ac:dyDescent="0.3">
      <c r="A18" s="82" t="s">
        <v>326</v>
      </c>
      <c r="B18" s="162">
        <v>3447411</v>
      </c>
      <c r="C18" s="90">
        <v>0</v>
      </c>
      <c r="D18" s="162">
        <v>0</v>
      </c>
      <c r="E18" s="90">
        <f t="shared" si="1"/>
        <v>3447411</v>
      </c>
      <c r="F18" s="162">
        <v>3385792</v>
      </c>
      <c r="G18" s="163">
        <v>0</v>
      </c>
      <c r="H18" s="162">
        <v>0</v>
      </c>
      <c r="I18" s="162">
        <f t="shared" si="0"/>
        <v>3385792</v>
      </c>
      <c r="J18" s="162">
        <f t="shared" si="2"/>
        <v>61619</v>
      </c>
      <c r="K18" s="172">
        <v>61619</v>
      </c>
    </row>
    <row r="19" spans="1:13" ht="15.6" x14ac:dyDescent="0.3">
      <c r="A19" s="82"/>
      <c r="B19" s="171"/>
      <c r="C19" s="90"/>
      <c r="D19" s="162"/>
      <c r="E19" s="90"/>
      <c r="F19" s="162"/>
      <c r="G19" s="90"/>
      <c r="H19" s="162"/>
      <c r="I19" s="162"/>
      <c r="J19" s="164"/>
      <c r="K19" s="162"/>
    </row>
    <row r="20" spans="1:13" ht="15.6" x14ac:dyDescent="0.3">
      <c r="A20" s="165" t="s">
        <v>213</v>
      </c>
      <c r="B20" s="166">
        <f t="shared" ref="B20:K20" si="3">SUM(B10:B18)</f>
        <v>449557723</v>
      </c>
      <c r="C20" s="167">
        <f t="shared" si="3"/>
        <v>0</v>
      </c>
      <c r="D20" s="166">
        <f t="shared" si="3"/>
        <v>0</v>
      </c>
      <c r="E20" s="167">
        <f t="shared" si="3"/>
        <v>449557723</v>
      </c>
      <c r="F20" s="166">
        <f t="shared" si="3"/>
        <v>250272420.40070319</v>
      </c>
      <c r="G20" s="167">
        <f t="shared" si="3"/>
        <v>0</v>
      </c>
      <c r="H20" s="166">
        <f t="shared" si="3"/>
        <v>0</v>
      </c>
      <c r="I20" s="166">
        <f t="shared" si="3"/>
        <v>250272420.40070319</v>
      </c>
      <c r="J20" s="168">
        <f t="shared" si="3"/>
        <v>199285302.59929681</v>
      </c>
      <c r="K20" s="166">
        <f t="shared" si="3"/>
        <v>199285302.59929681</v>
      </c>
    </row>
    <row r="21" spans="1:13" ht="15.6" x14ac:dyDescent="0.3">
      <c r="A21" s="165" t="s">
        <v>327</v>
      </c>
      <c r="B21" s="166">
        <v>446085360</v>
      </c>
      <c r="C21" s="167">
        <v>3370436</v>
      </c>
      <c r="D21" s="166">
        <v>0</v>
      </c>
      <c r="E21" s="167">
        <v>449455796</v>
      </c>
      <c r="F21" s="166">
        <v>219826930</v>
      </c>
      <c r="G21" s="167">
        <v>15216997</v>
      </c>
      <c r="H21" s="166">
        <v>0</v>
      </c>
      <c r="I21" s="166">
        <v>235043927</v>
      </c>
      <c r="J21" s="168">
        <v>214411869</v>
      </c>
      <c r="K21" s="166">
        <v>226258429</v>
      </c>
      <c r="M21" s="89"/>
    </row>
    <row r="22" spans="1:13" x14ac:dyDescent="0.3">
      <c r="M22" s="178"/>
    </row>
    <row r="23" spans="1:13" x14ac:dyDescent="0.3">
      <c r="M23" s="89"/>
    </row>
    <row r="24" spans="1:13" ht="15.6" x14ac:dyDescent="0.3">
      <c r="B24" s="90">
        <v>79050000</v>
      </c>
      <c r="E24" s="90">
        <v>79050000</v>
      </c>
      <c r="F24" s="162">
        <v>24572011.438319374</v>
      </c>
      <c r="K24" s="90">
        <v>79050000</v>
      </c>
    </row>
    <row r="25" spans="1:13" ht="15.6" x14ac:dyDescent="0.3">
      <c r="B25" s="90">
        <v>65130130</v>
      </c>
      <c r="E25" s="90">
        <v>65130130</v>
      </c>
      <c r="F25" s="162">
        <v>191409853.59775975</v>
      </c>
      <c r="K25" s="90">
        <v>40558118.56168063</v>
      </c>
    </row>
    <row r="26" spans="1:13" ht="15.6" x14ac:dyDescent="0.3">
      <c r="B26" s="90">
        <v>268495574</v>
      </c>
      <c r="E26" s="90">
        <v>268495574</v>
      </c>
      <c r="F26" s="162">
        <v>18018962.265604064</v>
      </c>
      <c r="K26" s="90">
        <v>77085720.402240247</v>
      </c>
    </row>
    <row r="27" spans="1:13" ht="15.6" x14ac:dyDescent="0.3">
      <c r="B27" s="90">
        <v>19425551</v>
      </c>
      <c r="E27" s="90">
        <v>19425551</v>
      </c>
      <c r="F27" s="162">
        <v>7045556.9079161203</v>
      </c>
      <c r="K27" s="90">
        <v>1406588.7343959361</v>
      </c>
    </row>
    <row r="28" spans="1:13" ht="15.6" x14ac:dyDescent="0.3">
      <c r="B28" s="90">
        <v>8086382</v>
      </c>
      <c r="E28" s="90">
        <v>8086382</v>
      </c>
      <c r="F28" s="162">
        <v>1850942.8265213443</v>
      </c>
      <c r="K28" s="90">
        <v>1040825.0920838797</v>
      </c>
    </row>
    <row r="29" spans="1:13" ht="15.6" x14ac:dyDescent="0.3">
      <c r="B29" s="90">
        <v>1895096</v>
      </c>
      <c r="E29" s="90">
        <v>1895096</v>
      </c>
      <c r="F29" s="162">
        <v>1434492.15</v>
      </c>
      <c r="K29" s="90">
        <v>44153.17347865575</v>
      </c>
    </row>
    <row r="30" spans="1:13" ht="15.6" x14ac:dyDescent="0.3">
      <c r="B30" s="90">
        <v>1441408</v>
      </c>
      <c r="E30" s="90">
        <v>1441408</v>
      </c>
      <c r="F30" s="162">
        <v>2554809.2145825475</v>
      </c>
      <c r="K30" s="90">
        <v>6915.8500000000931</v>
      </c>
    </row>
    <row r="31" spans="1:13" ht="15.6" x14ac:dyDescent="0.3">
      <c r="B31" s="90">
        <v>2586171</v>
      </c>
      <c r="E31" s="90">
        <v>2586171</v>
      </c>
      <c r="F31" s="162">
        <v>3385792</v>
      </c>
      <c r="K31" s="90">
        <v>31361.785417452455</v>
      </c>
    </row>
    <row r="32" spans="1:13" ht="15.6" x14ac:dyDescent="0.3">
      <c r="B32" s="90">
        <v>3447411</v>
      </c>
      <c r="E32" s="90">
        <v>3447411</v>
      </c>
      <c r="K32" s="90">
        <v>61619</v>
      </c>
    </row>
  </sheetData>
  <mergeCells count="3">
    <mergeCell ref="B6:E6"/>
    <mergeCell ref="F6:I6"/>
    <mergeCell ref="J6:K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topLeftCell="B29" workbookViewId="0">
      <selection activeCell="R50" sqref="R50"/>
    </sheetView>
  </sheetViews>
  <sheetFormatPr defaultRowHeight="14.4" x14ac:dyDescent="0.3"/>
  <cols>
    <col min="1" max="1" width="41.21875" bestFit="1" customWidth="1"/>
    <col min="3" max="3" width="10.88671875" bestFit="1" customWidth="1"/>
    <col min="4" max="4" width="10" bestFit="1" customWidth="1"/>
    <col min="5" max="5" width="13.77734375" bestFit="1" customWidth="1"/>
    <col min="8" max="8" width="16.33203125" bestFit="1" customWidth="1"/>
    <col min="10" max="10" width="8.21875" bestFit="1" customWidth="1"/>
    <col min="12" max="12" width="11.33203125" bestFit="1" customWidth="1"/>
    <col min="15" max="15" width="4.33203125" bestFit="1" customWidth="1"/>
    <col min="16" max="16" width="11.33203125" bestFit="1" customWidth="1"/>
    <col min="17" max="17" width="10.33203125" bestFit="1" customWidth="1"/>
    <col min="18" max="18" width="11.33203125" bestFit="1" customWidth="1"/>
  </cols>
  <sheetData>
    <row r="1" spans="1:18" x14ac:dyDescent="0.3">
      <c r="A1" s="1467" t="s">
        <v>2209</v>
      </c>
      <c r="B1" s="1466"/>
      <c r="C1" s="1465">
        <v>14802074.42</v>
      </c>
      <c r="D1" s="1465">
        <v>1321653.32</v>
      </c>
      <c r="E1" s="1900">
        <v>13480421.1</v>
      </c>
      <c r="H1" s="1467" t="s">
        <v>2209</v>
      </c>
      <c r="I1" s="1466"/>
      <c r="J1" s="1465">
        <v>35890</v>
      </c>
      <c r="K1" s="1470"/>
      <c r="L1" s="1900">
        <v>35890</v>
      </c>
      <c r="O1" s="1541">
        <f t="shared" ref="O1:R1" si="0">B1+I1</f>
        <v>0</v>
      </c>
      <c r="P1" s="1541">
        <f t="shared" si="0"/>
        <v>14837964.42</v>
      </c>
      <c r="Q1" s="1541">
        <f t="shared" si="0"/>
        <v>1321653.32</v>
      </c>
      <c r="R1" s="1541">
        <f t="shared" si="0"/>
        <v>13516311.1</v>
      </c>
    </row>
    <row r="2" spans="1:18" x14ac:dyDescent="0.3">
      <c r="A2" s="1884" t="s">
        <v>3689</v>
      </c>
      <c r="B2" s="1462"/>
      <c r="C2" s="1456">
        <v>2268994.85</v>
      </c>
      <c r="D2" s="1456">
        <v>1229442</v>
      </c>
      <c r="E2" s="1896">
        <v>1039552.85</v>
      </c>
      <c r="O2" s="1541">
        <f t="shared" ref="O2:O49" si="1">B2+I2</f>
        <v>0</v>
      </c>
      <c r="P2" s="1541">
        <f t="shared" ref="P2:P49" si="2">C2+J2</f>
        <v>2268994.85</v>
      </c>
      <c r="Q2" s="1541">
        <f t="shared" ref="Q2:Q49" si="3">D2+K2</f>
        <v>1229442</v>
      </c>
      <c r="R2" s="1541">
        <f t="shared" ref="R2:R49" si="4">E2+L2</f>
        <v>1039552.85</v>
      </c>
    </row>
    <row r="3" spans="1:18" x14ac:dyDescent="0.3">
      <c r="A3" s="1885" t="s">
        <v>2478</v>
      </c>
      <c r="B3" s="1462"/>
      <c r="C3" s="1456">
        <v>1682891.2</v>
      </c>
      <c r="D3" s="1460"/>
      <c r="E3" s="1896">
        <v>1682891.2</v>
      </c>
      <c r="O3" s="1541">
        <f t="shared" si="1"/>
        <v>0</v>
      </c>
      <c r="P3" s="1541">
        <f t="shared" si="2"/>
        <v>1682891.2</v>
      </c>
      <c r="Q3" s="1541">
        <f t="shared" si="3"/>
        <v>0</v>
      </c>
      <c r="R3" s="1541">
        <f t="shared" si="4"/>
        <v>1682891.2</v>
      </c>
    </row>
    <row r="4" spans="1:18" x14ac:dyDescent="0.3">
      <c r="A4" s="1883" t="s">
        <v>3470</v>
      </c>
      <c r="B4" s="1460"/>
      <c r="C4" s="1459">
        <v>3601.69</v>
      </c>
      <c r="D4" s="1462"/>
      <c r="E4" s="1894">
        <v>3601.69</v>
      </c>
      <c r="O4" s="1541">
        <f t="shared" si="1"/>
        <v>0</v>
      </c>
      <c r="P4" s="1541">
        <f t="shared" si="2"/>
        <v>3601.69</v>
      </c>
      <c r="Q4" s="1541">
        <f t="shared" si="3"/>
        <v>0</v>
      </c>
      <c r="R4" s="1541">
        <f t="shared" si="4"/>
        <v>3601.69</v>
      </c>
    </row>
    <row r="5" spans="1:18" x14ac:dyDescent="0.3">
      <c r="A5" s="1883" t="s">
        <v>3471</v>
      </c>
      <c r="B5" s="1460"/>
      <c r="C5" s="1459">
        <v>43614.16</v>
      </c>
      <c r="D5" s="1462"/>
      <c r="E5" s="1894">
        <v>43614.16</v>
      </c>
      <c r="O5" s="1541">
        <f t="shared" si="1"/>
        <v>0</v>
      </c>
      <c r="P5" s="1541">
        <f t="shared" si="2"/>
        <v>43614.16</v>
      </c>
      <c r="Q5" s="1541">
        <f t="shared" si="3"/>
        <v>0</v>
      </c>
      <c r="R5" s="1541">
        <f t="shared" si="4"/>
        <v>43614.16</v>
      </c>
    </row>
    <row r="6" spans="1:18" x14ac:dyDescent="0.3">
      <c r="A6" s="1883" t="s">
        <v>3472</v>
      </c>
      <c r="B6" s="1460"/>
      <c r="C6" s="1459">
        <v>450</v>
      </c>
      <c r="D6" s="1462"/>
      <c r="E6" s="1894">
        <v>450</v>
      </c>
      <c r="O6" s="1541">
        <f t="shared" si="1"/>
        <v>0</v>
      </c>
      <c r="P6" s="1541">
        <f t="shared" si="2"/>
        <v>450</v>
      </c>
      <c r="Q6" s="1541">
        <f t="shared" si="3"/>
        <v>0</v>
      </c>
      <c r="R6" s="1541">
        <f t="shared" si="4"/>
        <v>450</v>
      </c>
    </row>
    <row r="7" spans="1:18" x14ac:dyDescent="0.3">
      <c r="A7" s="1883" t="s">
        <v>3474</v>
      </c>
      <c r="B7" s="1460"/>
      <c r="C7" s="1459">
        <v>202000</v>
      </c>
      <c r="D7" s="1462"/>
      <c r="E7" s="1894">
        <v>202000</v>
      </c>
      <c r="O7" s="1541">
        <f t="shared" si="1"/>
        <v>0</v>
      </c>
      <c r="P7" s="1541">
        <f t="shared" si="2"/>
        <v>202000</v>
      </c>
      <c r="Q7" s="1541">
        <f t="shared" si="3"/>
        <v>0</v>
      </c>
      <c r="R7" s="1541">
        <f t="shared" si="4"/>
        <v>202000</v>
      </c>
    </row>
    <row r="8" spans="1:18" x14ac:dyDescent="0.3">
      <c r="A8" s="1883" t="s">
        <v>2206</v>
      </c>
      <c r="B8" s="1460"/>
      <c r="C8" s="1459">
        <v>45000</v>
      </c>
      <c r="D8" s="1462"/>
      <c r="E8" s="1894">
        <v>45000</v>
      </c>
      <c r="O8" s="1541">
        <f t="shared" si="1"/>
        <v>0</v>
      </c>
      <c r="P8" s="1541">
        <f t="shared" si="2"/>
        <v>45000</v>
      </c>
      <c r="Q8" s="1541">
        <f t="shared" si="3"/>
        <v>0</v>
      </c>
      <c r="R8" s="1541">
        <f t="shared" si="4"/>
        <v>45000</v>
      </c>
    </row>
    <row r="9" spans="1:18" x14ac:dyDescent="0.3">
      <c r="A9" s="1905" t="s">
        <v>3475</v>
      </c>
      <c r="B9" s="1460"/>
      <c r="C9" s="1459">
        <v>138300</v>
      </c>
      <c r="D9" s="1462"/>
      <c r="E9" s="1894">
        <v>138300</v>
      </c>
      <c r="O9" s="1541">
        <f t="shared" si="1"/>
        <v>0</v>
      </c>
      <c r="P9" s="1541">
        <f t="shared" si="2"/>
        <v>138300</v>
      </c>
      <c r="Q9" s="1541">
        <f t="shared" si="3"/>
        <v>0</v>
      </c>
      <c r="R9" s="1541">
        <f t="shared" si="4"/>
        <v>138300</v>
      </c>
    </row>
    <row r="10" spans="1:18" x14ac:dyDescent="0.3">
      <c r="A10" s="1905" t="s">
        <v>3476</v>
      </c>
      <c r="B10" s="1460"/>
      <c r="C10" s="1459">
        <v>1382070</v>
      </c>
      <c r="D10" s="1462"/>
      <c r="E10" s="1894">
        <v>1382070</v>
      </c>
      <c r="O10" s="1541">
        <f t="shared" si="1"/>
        <v>0</v>
      </c>
      <c r="P10" s="1541">
        <f t="shared" si="2"/>
        <v>1382070</v>
      </c>
      <c r="Q10" s="1541">
        <f t="shared" si="3"/>
        <v>0</v>
      </c>
      <c r="R10" s="1541">
        <f t="shared" si="4"/>
        <v>1382070</v>
      </c>
    </row>
    <row r="11" spans="1:18" x14ac:dyDescent="0.3">
      <c r="A11" s="1883" t="s">
        <v>3477</v>
      </c>
      <c r="B11" s="1460"/>
      <c r="C11" s="1459">
        <v>811868</v>
      </c>
      <c r="D11" s="1462"/>
      <c r="E11" s="1894">
        <v>811868</v>
      </c>
      <c r="O11" s="1541">
        <f t="shared" si="1"/>
        <v>0</v>
      </c>
      <c r="P11" s="1541">
        <f t="shared" si="2"/>
        <v>811868</v>
      </c>
      <c r="Q11" s="1541">
        <f t="shared" si="3"/>
        <v>0</v>
      </c>
      <c r="R11" s="1541">
        <f t="shared" si="4"/>
        <v>811868</v>
      </c>
    </row>
    <row r="12" spans="1:18" x14ac:dyDescent="0.3">
      <c r="A12" s="1883" t="s">
        <v>3478</v>
      </c>
      <c r="B12" s="1460"/>
      <c r="C12" s="1459">
        <v>57150</v>
      </c>
      <c r="D12" s="1462"/>
      <c r="E12" s="1894">
        <v>57150</v>
      </c>
      <c r="O12" s="1541">
        <f t="shared" si="1"/>
        <v>0</v>
      </c>
      <c r="P12" s="1541">
        <f t="shared" si="2"/>
        <v>57150</v>
      </c>
      <c r="Q12" s="1541">
        <f t="shared" si="3"/>
        <v>0</v>
      </c>
      <c r="R12" s="1541">
        <f t="shared" si="4"/>
        <v>57150</v>
      </c>
    </row>
    <row r="13" spans="1:18" x14ac:dyDescent="0.3">
      <c r="A13" s="1883" t="s">
        <v>3479</v>
      </c>
      <c r="B13" s="1460"/>
      <c r="C13" s="1459">
        <v>764100</v>
      </c>
      <c r="D13" s="1462"/>
      <c r="E13" s="1894">
        <v>764100</v>
      </c>
      <c r="O13" s="1541">
        <f t="shared" si="1"/>
        <v>0</v>
      </c>
      <c r="P13" s="1541">
        <f t="shared" si="2"/>
        <v>764100</v>
      </c>
      <c r="Q13" s="1541">
        <f t="shared" si="3"/>
        <v>0</v>
      </c>
      <c r="R13" s="1541">
        <f t="shared" si="4"/>
        <v>764100</v>
      </c>
    </row>
    <row r="14" spans="1:18" x14ac:dyDescent="0.3">
      <c r="A14" s="1883" t="s">
        <v>3480</v>
      </c>
      <c r="B14" s="1460"/>
      <c r="C14" s="1459">
        <v>11460</v>
      </c>
      <c r="D14" s="1462"/>
      <c r="E14" s="1894">
        <v>11460</v>
      </c>
      <c r="O14" s="1541">
        <f t="shared" si="1"/>
        <v>0</v>
      </c>
      <c r="P14" s="1541">
        <f t="shared" si="2"/>
        <v>11460</v>
      </c>
      <c r="Q14" s="1541">
        <f t="shared" si="3"/>
        <v>0</v>
      </c>
      <c r="R14" s="1541">
        <f t="shared" si="4"/>
        <v>11460</v>
      </c>
    </row>
    <row r="15" spans="1:18" x14ac:dyDescent="0.3">
      <c r="A15" s="1883" t="s">
        <v>2196</v>
      </c>
      <c r="B15" s="1460"/>
      <c r="C15" s="1459">
        <v>18500</v>
      </c>
      <c r="D15" s="1462"/>
      <c r="E15" s="1894">
        <v>18500</v>
      </c>
      <c r="H15" s="1461" t="s">
        <v>2196</v>
      </c>
      <c r="I15" s="1460"/>
      <c r="J15" s="1459">
        <v>7500</v>
      </c>
      <c r="K15" s="1462"/>
      <c r="L15" s="1894">
        <v>7500</v>
      </c>
      <c r="O15" s="1541">
        <f t="shared" si="1"/>
        <v>0</v>
      </c>
      <c r="P15" s="1541">
        <f t="shared" si="2"/>
        <v>26000</v>
      </c>
      <c r="Q15" s="1541">
        <f t="shared" si="3"/>
        <v>0</v>
      </c>
      <c r="R15" s="1541">
        <f t="shared" si="4"/>
        <v>26000</v>
      </c>
    </row>
    <row r="16" spans="1:18" x14ac:dyDescent="0.3">
      <c r="A16" s="1883" t="s">
        <v>3481</v>
      </c>
      <c r="B16" s="1460"/>
      <c r="C16" s="1459">
        <v>1500</v>
      </c>
      <c r="D16" s="1462"/>
      <c r="E16" s="1894">
        <v>1500</v>
      </c>
      <c r="O16" s="1541">
        <f t="shared" si="1"/>
        <v>0</v>
      </c>
      <c r="P16" s="1541">
        <f t="shared" si="2"/>
        <v>1500</v>
      </c>
      <c r="Q16" s="1541">
        <f t="shared" si="3"/>
        <v>0</v>
      </c>
      <c r="R16" s="1541">
        <f t="shared" si="4"/>
        <v>1500</v>
      </c>
    </row>
    <row r="17" spans="1:18" x14ac:dyDescent="0.3">
      <c r="A17" s="1883" t="s">
        <v>3482</v>
      </c>
      <c r="B17" s="1460"/>
      <c r="C17" s="1459">
        <v>60000</v>
      </c>
      <c r="D17" s="1462"/>
      <c r="E17" s="1894">
        <v>60000</v>
      </c>
      <c r="O17" s="1541">
        <f t="shared" si="1"/>
        <v>0</v>
      </c>
      <c r="P17" s="1541">
        <f t="shared" si="2"/>
        <v>60000</v>
      </c>
      <c r="Q17" s="1541">
        <f t="shared" si="3"/>
        <v>0</v>
      </c>
      <c r="R17" s="1541">
        <f t="shared" si="4"/>
        <v>60000</v>
      </c>
    </row>
    <row r="18" spans="1:18" x14ac:dyDescent="0.3">
      <c r="A18" s="1883" t="s">
        <v>3483</v>
      </c>
      <c r="B18" s="1460"/>
      <c r="C18" s="1459">
        <v>40000</v>
      </c>
      <c r="D18" s="1462"/>
      <c r="E18" s="1894">
        <v>40000</v>
      </c>
      <c r="O18" s="1541">
        <f t="shared" si="1"/>
        <v>0</v>
      </c>
      <c r="P18" s="1541">
        <f t="shared" si="2"/>
        <v>40000</v>
      </c>
      <c r="Q18" s="1541">
        <f t="shared" si="3"/>
        <v>0</v>
      </c>
      <c r="R18" s="1541">
        <f t="shared" si="4"/>
        <v>40000</v>
      </c>
    </row>
    <row r="19" spans="1:18" x14ac:dyDescent="0.3">
      <c r="A19" s="1883" t="s">
        <v>3484</v>
      </c>
      <c r="B19" s="1460"/>
      <c r="C19" s="1459">
        <v>15000</v>
      </c>
      <c r="D19" s="1462"/>
      <c r="E19" s="1894">
        <v>15000</v>
      </c>
      <c r="O19" s="1541">
        <f t="shared" si="1"/>
        <v>0</v>
      </c>
      <c r="P19" s="1541">
        <f t="shared" si="2"/>
        <v>15000</v>
      </c>
      <c r="Q19" s="1541">
        <f t="shared" si="3"/>
        <v>0</v>
      </c>
      <c r="R19" s="1541">
        <f t="shared" si="4"/>
        <v>15000</v>
      </c>
    </row>
    <row r="20" spans="1:18" x14ac:dyDescent="0.3">
      <c r="A20" s="1883" t="s">
        <v>3485</v>
      </c>
      <c r="B20" s="1460"/>
      <c r="C20" s="1459">
        <v>18000</v>
      </c>
      <c r="D20" s="1462"/>
      <c r="E20" s="1894">
        <v>18000</v>
      </c>
      <c r="O20" s="1541">
        <f t="shared" si="1"/>
        <v>0</v>
      </c>
      <c r="P20" s="1541">
        <f t="shared" si="2"/>
        <v>18000</v>
      </c>
      <c r="Q20" s="1541">
        <f t="shared" si="3"/>
        <v>0</v>
      </c>
      <c r="R20" s="1541">
        <f t="shared" si="4"/>
        <v>18000</v>
      </c>
    </row>
    <row r="21" spans="1:18" x14ac:dyDescent="0.3">
      <c r="A21" s="1883" t="s">
        <v>3513</v>
      </c>
      <c r="B21" s="1460"/>
      <c r="C21" s="1459">
        <v>30450</v>
      </c>
      <c r="D21" s="1462"/>
      <c r="E21" s="1894">
        <v>30450</v>
      </c>
      <c r="O21" s="1541">
        <f t="shared" si="1"/>
        <v>0</v>
      </c>
      <c r="P21" s="1541">
        <f t="shared" si="2"/>
        <v>30450</v>
      </c>
      <c r="Q21" s="1541">
        <f t="shared" si="3"/>
        <v>0</v>
      </c>
      <c r="R21" s="1541">
        <f t="shared" si="4"/>
        <v>30450</v>
      </c>
    </row>
    <row r="22" spans="1:18" x14ac:dyDescent="0.3">
      <c r="A22" s="1883" t="s">
        <v>3488</v>
      </c>
      <c r="B22" s="1460"/>
      <c r="C22" s="1459">
        <v>1600</v>
      </c>
      <c r="D22" s="1462"/>
      <c r="E22" s="1894">
        <v>1600</v>
      </c>
      <c r="O22" s="1541">
        <f t="shared" si="1"/>
        <v>0</v>
      </c>
      <c r="P22" s="1541">
        <f t="shared" si="2"/>
        <v>1600</v>
      </c>
      <c r="Q22" s="1541">
        <f t="shared" si="3"/>
        <v>0</v>
      </c>
      <c r="R22" s="1541">
        <f t="shared" si="4"/>
        <v>1600</v>
      </c>
    </row>
    <row r="23" spans="1:18" x14ac:dyDescent="0.3">
      <c r="A23" s="1883" t="s">
        <v>2201</v>
      </c>
      <c r="B23" s="1460"/>
      <c r="C23" s="1459">
        <v>250000</v>
      </c>
      <c r="D23" s="1462"/>
      <c r="E23" s="1894">
        <v>250000</v>
      </c>
      <c r="O23" s="1541">
        <f t="shared" si="1"/>
        <v>0</v>
      </c>
      <c r="P23" s="1541">
        <f t="shared" si="2"/>
        <v>250000</v>
      </c>
      <c r="Q23" s="1541">
        <f t="shared" si="3"/>
        <v>0</v>
      </c>
      <c r="R23" s="1541">
        <f t="shared" si="4"/>
        <v>250000</v>
      </c>
    </row>
    <row r="24" spans="1:18" x14ac:dyDescent="0.3">
      <c r="A24" s="1883" t="s">
        <v>3489</v>
      </c>
      <c r="B24" s="1460"/>
      <c r="C24" s="1459">
        <v>413649.5</v>
      </c>
      <c r="D24" s="1459">
        <v>2000</v>
      </c>
      <c r="E24" s="1894">
        <v>411649.5</v>
      </c>
      <c r="O24" s="1541">
        <f t="shared" si="1"/>
        <v>0</v>
      </c>
      <c r="P24" s="1541">
        <f t="shared" si="2"/>
        <v>413649.5</v>
      </c>
      <c r="Q24" s="1541">
        <f t="shared" si="3"/>
        <v>2000</v>
      </c>
      <c r="R24" s="1541">
        <f t="shared" si="4"/>
        <v>411649.5</v>
      </c>
    </row>
    <row r="25" spans="1:18" x14ac:dyDescent="0.3">
      <c r="A25" s="1883" t="s">
        <v>3490</v>
      </c>
      <c r="B25" s="1460"/>
      <c r="C25" s="1459">
        <v>4046</v>
      </c>
      <c r="D25" s="1462"/>
      <c r="E25" s="1894">
        <v>4046</v>
      </c>
      <c r="O25" s="1541">
        <f t="shared" si="1"/>
        <v>0</v>
      </c>
      <c r="P25" s="1541">
        <f t="shared" si="2"/>
        <v>4046</v>
      </c>
      <c r="Q25" s="1541">
        <f t="shared" si="3"/>
        <v>0</v>
      </c>
      <c r="R25" s="1541">
        <f t="shared" si="4"/>
        <v>4046</v>
      </c>
    </row>
    <row r="26" spans="1:18" x14ac:dyDescent="0.3">
      <c r="A26" s="1883" t="s">
        <v>3494</v>
      </c>
      <c r="B26" s="1460"/>
      <c r="C26" s="1459">
        <v>25000</v>
      </c>
      <c r="D26" s="1462"/>
      <c r="E26" s="1894">
        <v>25000</v>
      </c>
      <c r="O26" s="1541">
        <f t="shared" si="1"/>
        <v>0</v>
      </c>
      <c r="P26" s="1541">
        <f t="shared" si="2"/>
        <v>25000</v>
      </c>
      <c r="Q26" s="1541">
        <f t="shared" si="3"/>
        <v>0</v>
      </c>
      <c r="R26" s="1541">
        <f t="shared" si="4"/>
        <v>25000</v>
      </c>
    </row>
    <row r="27" spans="1:18" x14ac:dyDescent="0.3">
      <c r="A27" s="1883" t="s">
        <v>3496</v>
      </c>
      <c r="B27" s="1460"/>
      <c r="C27" s="1459">
        <v>9500</v>
      </c>
      <c r="D27" s="1462"/>
      <c r="E27" s="1894">
        <v>9500</v>
      </c>
      <c r="O27" s="1541">
        <f t="shared" si="1"/>
        <v>0</v>
      </c>
      <c r="P27" s="1541">
        <f t="shared" si="2"/>
        <v>9500</v>
      </c>
      <c r="Q27" s="1541">
        <f t="shared" si="3"/>
        <v>0</v>
      </c>
      <c r="R27" s="1541">
        <f t="shared" si="4"/>
        <v>9500</v>
      </c>
    </row>
    <row r="28" spans="1:18" x14ac:dyDescent="0.3">
      <c r="A28" s="1883" t="s">
        <v>3497</v>
      </c>
      <c r="B28" s="1460"/>
      <c r="C28" s="1459">
        <v>39000</v>
      </c>
      <c r="D28" s="1462"/>
      <c r="E28" s="1894">
        <v>39000</v>
      </c>
      <c r="O28" s="1541">
        <f t="shared" si="1"/>
        <v>0</v>
      </c>
      <c r="P28" s="1541">
        <f t="shared" si="2"/>
        <v>39000</v>
      </c>
      <c r="Q28" s="1541">
        <f t="shared" si="3"/>
        <v>0</v>
      </c>
      <c r="R28" s="1541">
        <f t="shared" si="4"/>
        <v>39000</v>
      </c>
    </row>
    <row r="29" spans="1:18" x14ac:dyDescent="0.3">
      <c r="A29" s="1883" t="s">
        <v>2199</v>
      </c>
      <c r="B29" s="1460"/>
      <c r="C29" s="1459">
        <v>1452157</v>
      </c>
      <c r="D29" s="1459">
        <v>90000</v>
      </c>
      <c r="E29" s="1894">
        <v>1362157</v>
      </c>
      <c r="O29" s="1541">
        <f t="shared" si="1"/>
        <v>0</v>
      </c>
      <c r="P29" s="1541">
        <f t="shared" si="2"/>
        <v>1452157</v>
      </c>
      <c r="Q29" s="1541">
        <f t="shared" si="3"/>
        <v>90000</v>
      </c>
      <c r="R29" s="1541">
        <f t="shared" si="4"/>
        <v>1362157</v>
      </c>
    </row>
    <row r="30" spans="1:18" x14ac:dyDescent="0.3">
      <c r="A30" s="1883" t="s">
        <v>3499</v>
      </c>
      <c r="B30" s="1460"/>
      <c r="C30" s="1459">
        <v>13000</v>
      </c>
      <c r="D30" s="1462"/>
      <c r="E30" s="1894">
        <v>13000</v>
      </c>
      <c r="O30" s="1541">
        <f t="shared" si="1"/>
        <v>0</v>
      </c>
      <c r="P30" s="1541">
        <f t="shared" si="2"/>
        <v>13000</v>
      </c>
      <c r="Q30" s="1541">
        <f t="shared" si="3"/>
        <v>0</v>
      </c>
      <c r="R30" s="1541">
        <f t="shared" si="4"/>
        <v>13000</v>
      </c>
    </row>
    <row r="31" spans="1:18" x14ac:dyDescent="0.3">
      <c r="A31" s="1883" t="s">
        <v>3501</v>
      </c>
      <c r="B31" s="1460"/>
      <c r="C31" s="1459">
        <v>7075</v>
      </c>
      <c r="D31" s="1462"/>
      <c r="E31" s="1894">
        <v>7075</v>
      </c>
      <c r="O31" s="1541">
        <f t="shared" si="1"/>
        <v>0</v>
      </c>
      <c r="P31" s="1541">
        <f t="shared" si="2"/>
        <v>7075</v>
      </c>
      <c r="Q31" s="1541">
        <f t="shared" si="3"/>
        <v>0</v>
      </c>
      <c r="R31" s="1541">
        <f t="shared" si="4"/>
        <v>7075</v>
      </c>
    </row>
    <row r="32" spans="1:18" x14ac:dyDescent="0.3">
      <c r="A32" s="1883" t="s">
        <v>3516</v>
      </c>
      <c r="B32" s="1460"/>
      <c r="C32" s="1459">
        <v>250</v>
      </c>
      <c r="D32" s="1462"/>
      <c r="E32" s="1894">
        <v>250</v>
      </c>
      <c r="O32" s="1541">
        <f t="shared" si="1"/>
        <v>0</v>
      </c>
      <c r="P32" s="1541">
        <f t="shared" si="2"/>
        <v>250</v>
      </c>
      <c r="Q32" s="1541">
        <f t="shared" si="3"/>
        <v>0</v>
      </c>
      <c r="R32" s="1541">
        <f t="shared" si="4"/>
        <v>250</v>
      </c>
    </row>
    <row r="33" spans="1:18" x14ac:dyDescent="0.3">
      <c r="A33" s="1883" t="s">
        <v>3502</v>
      </c>
      <c r="B33" s="1460"/>
      <c r="C33" s="1459">
        <v>35290</v>
      </c>
      <c r="D33" s="1462"/>
      <c r="E33" s="1894">
        <v>35290</v>
      </c>
      <c r="O33" s="1541">
        <f t="shared" si="1"/>
        <v>0</v>
      </c>
      <c r="P33" s="1541">
        <f t="shared" si="2"/>
        <v>35290</v>
      </c>
      <c r="Q33" s="1541">
        <f t="shared" si="3"/>
        <v>0</v>
      </c>
      <c r="R33" s="1541">
        <f t="shared" si="4"/>
        <v>35290</v>
      </c>
    </row>
    <row r="34" spans="1:18" x14ac:dyDescent="0.3">
      <c r="A34" s="1883" t="s">
        <v>2197</v>
      </c>
      <c r="B34" s="1460"/>
      <c r="C34" s="1459">
        <v>2282</v>
      </c>
      <c r="D34" s="1462"/>
      <c r="E34" s="1894">
        <v>2282</v>
      </c>
      <c r="O34" s="1541">
        <f t="shared" si="1"/>
        <v>0</v>
      </c>
      <c r="P34" s="1541">
        <f t="shared" si="2"/>
        <v>2282</v>
      </c>
      <c r="Q34" s="1541">
        <f t="shared" si="3"/>
        <v>0</v>
      </c>
      <c r="R34" s="1541">
        <f t="shared" si="4"/>
        <v>2282</v>
      </c>
    </row>
    <row r="35" spans="1:18" x14ac:dyDescent="0.3">
      <c r="A35" s="1905" t="s">
        <v>3503</v>
      </c>
      <c r="B35" s="1460"/>
      <c r="C35" s="1459">
        <v>29720</v>
      </c>
      <c r="D35" s="1462"/>
      <c r="E35" s="1894">
        <v>29720</v>
      </c>
      <c r="O35" s="1541">
        <f t="shared" si="1"/>
        <v>0</v>
      </c>
      <c r="P35" s="1541">
        <f t="shared" si="2"/>
        <v>29720</v>
      </c>
      <c r="Q35" s="1541">
        <f t="shared" si="3"/>
        <v>0</v>
      </c>
      <c r="R35" s="1541">
        <f t="shared" si="4"/>
        <v>29720</v>
      </c>
    </row>
    <row r="36" spans="1:18" x14ac:dyDescent="0.3">
      <c r="A36" s="1883" t="s">
        <v>3504</v>
      </c>
      <c r="B36" s="1460"/>
      <c r="C36" s="1459">
        <v>5030</v>
      </c>
      <c r="D36" s="1462"/>
      <c r="E36" s="1894">
        <v>5030</v>
      </c>
      <c r="O36" s="1541">
        <f t="shared" si="1"/>
        <v>0</v>
      </c>
      <c r="P36" s="1541">
        <f t="shared" si="2"/>
        <v>5030</v>
      </c>
      <c r="Q36" s="1541">
        <f t="shared" si="3"/>
        <v>0</v>
      </c>
      <c r="R36" s="1541">
        <f t="shared" si="4"/>
        <v>5030</v>
      </c>
    </row>
    <row r="37" spans="1:18" x14ac:dyDescent="0.3">
      <c r="A37" s="1883" t="s">
        <v>3505</v>
      </c>
      <c r="B37" s="1460"/>
      <c r="C37" s="1459">
        <v>2250953.73</v>
      </c>
      <c r="D37" s="1462"/>
      <c r="E37" s="1894">
        <v>2250953.73</v>
      </c>
      <c r="O37" s="1541">
        <f t="shared" si="1"/>
        <v>0</v>
      </c>
      <c r="P37" s="1541">
        <f t="shared" si="2"/>
        <v>2250953.73</v>
      </c>
      <c r="Q37" s="1541">
        <f t="shared" si="3"/>
        <v>0</v>
      </c>
      <c r="R37" s="1541">
        <f t="shared" si="4"/>
        <v>2250953.73</v>
      </c>
    </row>
    <row r="38" spans="1:18" x14ac:dyDescent="0.3">
      <c r="A38" s="1883" t="s">
        <v>3506</v>
      </c>
      <c r="B38" s="1460"/>
      <c r="C38" s="1459">
        <v>226104</v>
      </c>
      <c r="D38" s="1462"/>
      <c r="E38" s="1894">
        <v>226104</v>
      </c>
      <c r="O38" s="1541">
        <f t="shared" si="1"/>
        <v>0</v>
      </c>
      <c r="P38" s="1541">
        <f t="shared" si="2"/>
        <v>226104</v>
      </c>
      <c r="Q38" s="1541">
        <f t="shared" si="3"/>
        <v>0</v>
      </c>
      <c r="R38" s="1541">
        <f t="shared" si="4"/>
        <v>226104</v>
      </c>
    </row>
    <row r="39" spans="1:18" x14ac:dyDescent="0.3">
      <c r="A39" s="1883" t="s">
        <v>3507</v>
      </c>
      <c r="B39" s="1460"/>
      <c r="C39" s="1459">
        <v>735593.82</v>
      </c>
      <c r="D39" s="1462"/>
      <c r="E39" s="1894">
        <v>735593.82</v>
      </c>
      <c r="O39" s="1541">
        <f t="shared" si="1"/>
        <v>0</v>
      </c>
      <c r="P39" s="1541">
        <f t="shared" si="2"/>
        <v>735593.82</v>
      </c>
      <c r="Q39" s="1541">
        <f t="shared" si="3"/>
        <v>0</v>
      </c>
      <c r="R39" s="1541">
        <f t="shared" si="4"/>
        <v>735593.82</v>
      </c>
    </row>
    <row r="40" spans="1:18" x14ac:dyDescent="0.3">
      <c r="A40" s="1883" t="s">
        <v>3508</v>
      </c>
      <c r="B40" s="1460"/>
      <c r="C40" s="1459">
        <v>37600</v>
      </c>
      <c r="D40" s="1462"/>
      <c r="E40" s="1894">
        <v>37600</v>
      </c>
      <c r="O40" s="1541">
        <f t="shared" si="1"/>
        <v>0</v>
      </c>
      <c r="P40" s="1541">
        <f t="shared" si="2"/>
        <v>37600</v>
      </c>
      <c r="Q40" s="1541">
        <f t="shared" si="3"/>
        <v>0</v>
      </c>
      <c r="R40" s="1541">
        <f t="shared" si="4"/>
        <v>37600</v>
      </c>
    </row>
    <row r="41" spans="1:18" x14ac:dyDescent="0.3">
      <c r="A41" s="1883" t="s">
        <v>3509</v>
      </c>
      <c r="B41" s="1460"/>
      <c r="C41" s="1459">
        <v>30000</v>
      </c>
      <c r="D41" s="1462"/>
      <c r="E41" s="1894">
        <v>30000</v>
      </c>
      <c r="O41" s="1541">
        <f t="shared" si="1"/>
        <v>0</v>
      </c>
      <c r="P41" s="1541">
        <f t="shared" si="2"/>
        <v>30000</v>
      </c>
      <c r="Q41" s="1541">
        <f t="shared" si="3"/>
        <v>0</v>
      </c>
      <c r="R41" s="1541">
        <f t="shared" si="4"/>
        <v>30000</v>
      </c>
    </row>
    <row r="42" spans="1:18" x14ac:dyDescent="0.3">
      <c r="A42" s="1883" t="s">
        <v>3510</v>
      </c>
      <c r="B42" s="1460"/>
      <c r="C42" s="1459">
        <v>41400</v>
      </c>
      <c r="D42" s="1462"/>
      <c r="E42" s="1894">
        <v>41400</v>
      </c>
      <c r="O42" s="1541">
        <f t="shared" si="1"/>
        <v>0</v>
      </c>
      <c r="P42" s="1541">
        <f t="shared" si="2"/>
        <v>41400</v>
      </c>
      <c r="Q42" s="1541">
        <f t="shared" si="3"/>
        <v>0</v>
      </c>
      <c r="R42" s="1541">
        <f t="shared" si="4"/>
        <v>41400</v>
      </c>
    </row>
    <row r="43" spans="1:18" x14ac:dyDescent="0.3">
      <c r="A43" s="1461" t="s">
        <v>2203</v>
      </c>
      <c r="B43" s="1460"/>
      <c r="C43" s="1459">
        <v>495520.32</v>
      </c>
      <c r="D43" s="1462"/>
      <c r="E43" s="1894">
        <v>495520.32</v>
      </c>
      <c r="H43" s="1461" t="s">
        <v>3486</v>
      </c>
      <c r="I43" s="1460"/>
      <c r="J43" s="1459">
        <v>21390</v>
      </c>
      <c r="K43" s="1462"/>
      <c r="L43" s="1894">
        <v>21390</v>
      </c>
      <c r="O43" s="1541">
        <f t="shared" ref="O43:R48" si="5">B43+I43</f>
        <v>0</v>
      </c>
      <c r="P43" s="1541">
        <f t="shared" si="5"/>
        <v>516910.32</v>
      </c>
      <c r="Q43" s="1541">
        <f t="shared" si="5"/>
        <v>0</v>
      </c>
      <c r="R43" s="1541">
        <f t="shared" si="5"/>
        <v>516910.32</v>
      </c>
    </row>
    <row r="44" spans="1:18" x14ac:dyDescent="0.3">
      <c r="A44" s="1461" t="s">
        <v>3491</v>
      </c>
      <c r="B44" s="1460"/>
      <c r="C44" s="1459">
        <v>104200</v>
      </c>
      <c r="D44" s="1462"/>
      <c r="E44" s="1894">
        <v>104200</v>
      </c>
      <c r="O44" s="1541">
        <f t="shared" si="5"/>
        <v>0</v>
      </c>
      <c r="P44" s="1541">
        <f t="shared" si="5"/>
        <v>104200</v>
      </c>
      <c r="Q44" s="1541">
        <f t="shared" si="5"/>
        <v>0</v>
      </c>
      <c r="R44" s="1541">
        <f t="shared" si="5"/>
        <v>104200</v>
      </c>
    </row>
    <row r="45" spans="1:18" x14ac:dyDescent="0.3">
      <c r="A45" s="1461" t="s">
        <v>3514</v>
      </c>
      <c r="B45" s="1460"/>
      <c r="C45" s="1459">
        <v>188730</v>
      </c>
      <c r="D45" s="1462"/>
      <c r="E45" s="1894">
        <v>188730</v>
      </c>
      <c r="O45" s="1541">
        <f t="shared" si="5"/>
        <v>0</v>
      </c>
      <c r="P45" s="1541">
        <f t="shared" si="5"/>
        <v>188730</v>
      </c>
      <c r="Q45" s="1541">
        <f t="shared" si="5"/>
        <v>0</v>
      </c>
      <c r="R45" s="1541">
        <f t="shared" si="5"/>
        <v>188730</v>
      </c>
    </row>
    <row r="46" spans="1:18" x14ac:dyDescent="0.3">
      <c r="A46" s="1461" t="s">
        <v>2291</v>
      </c>
      <c r="B46" s="1460"/>
      <c r="C46" s="1459">
        <v>96866</v>
      </c>
      <c r="D46" s="1462"/>
      <c r="E46" s="1894">
        <v>96866</v>
      </c>
      <c r="O46" s="1541">
        <f t="shared" si="5"/>
        <v>0</v>
      </c>
      <c r="P46" s="1541">
        <f t="shared" si="5"/>
        <v>96866</v>
      </c>
      <c r="Q46" s="1541">
        <f t="shared" si="5"/>
        <v>0</v>
      </c>
      <c r="R46" s="1541">
        <f t="shared" si="5"/>
        <v>96866</v>
      </c>
    </row>
    <row r="47" spans="1:18" x14ac:dyDescent="0.3">
      <c r="A47" s="1461" t="s">
        <v>3495</v>
      </c>
      <c r="B47" s="1460"/>
      <c r="C47" s="1459">
        <v>82430.899999999994</v>
      </c>
      <c r="D47" s="1462"/>
      <c r="E47" s="1894">
        <v>82430.899999999994</v>
      </c>
      <c r="O47" s="1541">
        <f t="shared" si="5"/>
        <v>0</v>
      </c>
      <c r="P47" s="1541">
        <f t="shared" si="5"/>
        <v>82430.899999999994</v>
      </c>
      <c r="Q47" s="1541">
        <f t="shared" si="5"/>
        <v>0</v>
      </c>
      <c r="R47" s="1541">
        <f t="shared" si="5"/>
        <v>82430.899999999994</v>
      </c>
    </row>
    <row r="48" spans="1:18" x14ac:dyDescent="0.3">
      <c r="A48" s="1883" t="s">
        <v>3511</v>
      </c>
      <c r="B48" s="1460"/>
      <c r="C48" s="1459">
        <v>55000</v>
      </c>
      <c r="D48" s="1462"/>
      <c r="E48" s="1894">
        <v>55000</v>
      </c>
      <c r="O48" s="1541">
        <f t="shared" si="5"/>
        <v>0</v>
      </c>
      <c r="P48" s="1541">
        <f t="shared" si="5"/>
        <v>55000</v>
      </c>
      <c r="Q48" s="1541">
        <f t="shared" si="5"/>
        <v>0</v>
      </c>
      <c r="R48" s="1541">
        <f t="shared" si="5"/>
        <v>55000</v>
      </c>
    </row>
    <row r="49" spans="1:18" x14ac:dyDescent="0.3">
      <c r="A49" s="1883"/>
      <c r="B49" s="1460"/>
      <c r="C49" s="1459"/>
      <c r="D49" s="1462"/>
      <c r="E49" s="1894"/>
      <c r="O49" s="1541"/>
      <c r="P49" s="1541"/>
      <c r="Q49" s="1541"/>
      <c r="R49" s="1541">
        <v>-134012</v>
      </c>
    </row>
    <row r="50" spans="1:18" x14ac:dyDescent="0.3">
      <c r="A50" s="1883"/>
      <c r="B50" s="1460"/>
      <c r="C50" s="1459"/>
      <c r="D50" s="1462"/>
      <c r="E50" s="1894"/>
      <c r="O50" s="1541"/>
      <c r="P50" s="1541"/>
      <c r="Q50" s="1541"/>
      <c r="R50" s="1888">
        <f>SUM(R2:R49)</f>
        <v>12800384.170000002</v>
      </c>
    </row>
    <row r="51" spans="1:18" x14ac:dyDescent="0.3">
      <c r="A51" s="1883"/>
      <c r="B51" s="1460"/>
      <c r="C51" s="1459"/>
      <c r="D51" s="1462"/>
      <c r="E51" s="1894"/>
      <c r="O51" s="1541"/>
      <c r="P51" s="1541"/>
      <c r="Q51" s="1541"/>
      <c r="R51" s="1541"/>
    </row>
    <row r="52" spans="1:18" x14ac:dyDescent="0.3">
      <c r="A52" s="1883"/>
      <c r="B52" s="1460"/>
      <c r="C52" s="1459"/>
      <c r="D52" s="1462"/>
      <c r="E52" s="1894"/>
      <c r="O52" s="1541"/>
      <c r="P52" s="1541"/>
      <c r="Q52" s="1541"/>
      <c r="R52" s="1541"/>
    </row>
    <row r="53" spans="1:18" x14ac:dyDescent="0.3">
      <c r="A53" s="1883"/>
      <c r="B53" s="1460"/>
      <c r="C53" s="1459"/>
      <c r="D53" s="1462"/>
      <c r="E53" s="1894"/>
      <c r="O53" s="1541"/>
      <c r="P53" s="1541"/>
      <c r="Q53" s="1541"/>
      <c r="R53" s="1541"/>
    </row>
    <row r="54" spans="1:18" x14ac:dyDescent="0.3">
      <c r="A54" s="1883"/>
      <c r="B54" s="1460"/>
      <c r="C54" s="1459"/>
      <c r="D54" s="1462"/>
      <c r="E54" s="1894"/>
      <c r="O54" s="1541"/>
      <c r="P54" s="1541"/>
      <c r="Q54" s="1541"/>
      <c r="R54" s="1541"/>
    </row>
    <row r="55" spans="1:18" x14ac:dyDescent="0.3">
      <c r="A55" s="1883"/>
      <c r="B55" s="1460"/>
      <c r="C55" s="1459"/>
      <c r="D55" s="1462"/>
      <c r="E55" s="1894"/>
      <c r="O55" s="1541"/>
      <c r="P55" s="1541"/>
      <c r="Q55" s="1541"/>
      <c r="R55" s="1541"/>
    </row>
    <row r="56" spans="1:18" x14ac:dyDescent="0.3">
      <c r="A56" s="1883" t="s">
        <v>3742</v>
      </c>
      <c r="B56" s="1460"/>
      <c r="C56" s="1459">
        <v>100000</v>
      </c>
      <c r="D56" s="1462"/>
      <c r="E56" s="1894">
        <v>100000</v>
      </c>
      <c r="O56" s="1541">
        <f t="shared" ref="O56" si="6">B56+I56</f>
        <v>0</v>
      </c>
      <c r="P56" s="1541">
        <f t="shared" ref="P56" si="7">C56+J56</f>
        <v>100000</v>
      </c>
      <c r="Q56" s="1541">
        <f t="shared" ref="Q56" si="8">D56+K56</f>
        <v>0</v>
      </c>
      <c r="R56" s="1541">
        <f t="shared" ref="R56" si="9">E56+L56</f>
        <v>100000</v>
      </c>
    </row>
    <row r="57" spans="1:18" x14ac:dyDescent="0.3">
      <c r="A57" s="1852" t="s">
        <v>3690</v>
      </c>
      <c r="B57" s="1462"/>
      <c r="C57" s="1456">
        <v>23088</v>
      </c>
      <c r="D57" s="1460"/>
      <c r="E57" s="1896">
        <v>23088</v>
      </c>
      <c r="O57" s="1541">
        <f t="shared" ref="O57:O73" si="10">B57+I57</f>
        <v>0</v>
      </c>
      <c r="P57" s="1541">
        <f t="shared" ref="P57:P73" si="11">C57+J57</f>
        <v>23088</v>
      </c>
      <c r="Q57" s="1541">
        <f t="shared" ref="Q57:Q73" si="12">D57+K57</f>
        <v>0</v>
      </c>
      <c r="R57" s="1541">
        <f t="shared" ref="R57:R73" si="13">E57+L57</f>
        <v>23088</v>
      </c>
    </row>
    <row r="58" spans="1:18" x14ac:dyDescent="0.3">
      <c r="A58" s="1461" t="s">
        <v>2163</v>
      </c>
      <c r="B58" s="1460"/>
      <c r="C58" s="1459">
        <v>431</v>
      </c>
      <c r="D58" s="1462"/>
      <c r="E58" s="1894">
        <v>431</v>
      </c>
      <c r="O58" s="1541">
        <f t="shared" si="10"/>
        <v>0</v>
      </c>
      <c r="P58" s="1541">
        <f t="shared" si="11"/>
        <v>431</v>
      </c>
      <c r="Q58" s="1541">
        <f t="shared" si="12"/>
        <v>0</v>
      </c>
      <c r="R58" s="1541">
        <f t="shared" si="13"/>
        <v>431</v>
      </c>
    </row>
    <row r="59" spans="1:18" x14ac:dyDescent="0.3">
      <c r="A59" s="1906" t="s">
        <v>2207</v>
      </c>
      <c r="B59" s="1460"/>
      <c r="C59" s="1459">
        <v>300000</v>
      </c>
      <c r="D59" s="1462"/>
      <c r="E59" s="1894">
        <v>300000</v>
      </c>
      <c r="O59" s="1541">
        <f t="shared" si="10"/>
        <v>0</v>
      </c>
      <c r="P59" s="1541">
        <f t="shared" si="11"/>
        <v>300000</v>
      </c>
      <c r="Q59" s="1541">
        <f t="shared" si="12"/>
        <v>0</v>
      </c>
      <c r="R59" s="1541">
        <f t="shared" si="13"/>
        <v>300000</v>
      </c>
    </row>
    <row r="60" spans="1:18" x14ac:dyDescent="0.3">
      <c r="A60" s="1906" t="s">
        <v>3735</v>
      </c>
      <c r="B60" s="1460"/>
      <c r="C60" s="1459">
        <v>24780</v>
      </c>
      <c r="D60" s="1462"/>
      <c r="E60" s="1894">
        <v>24780</v>
      </c>
      <c r="O60" s="1541">
        <f t="shared" si="10"/>
        <v>0</v>
      </c>
      <c r="P60" s="1541">
        <f t="shared" si="11"/>
        <v>24780</v>
      </c>
      <c r="Q60" s="1541">
        <f t="shared" si="12"/>
        <v>0</v>
      </c>
      <c r="R60" s="1541">
        <f t="shared" si="13"/>
        <v>24780</v>
      </c>
    </row>
    <row r="61" spans="1:18" x14ac:dyDescent="0.3">
      <c r="A61" s="1907" t="s">
        <v>3736</v>
      </c>
      <c r="B61" s="1460"/>
      <c r="C61" s="1459">
        <v>10620</v>
      </c>
      <c r="D61" s="1462"/>
      <c r="E61" s="1894">
        <v>10620</v>
      </c>
      <c r="O61" s="1541">
        <f t="shared" si="10"/>
        <v>0</v>
      </c>
      <c r="P61" s="1541">
        <f t="shared" si="11"/>
        <v>10620</v>
      </c>
      <c r="Q61" s="1541">
        <f t="shared" si="12"/>
        <v>0</v>
      </c>
      <c r="R61" s="1541">
        <f t="shared" si="13"/>
        <v>10620</v>
      </c>
    </row>
    <row r="62" spans="1:18" x14ac:dyDescent="0.3">
      <c r="A62" s="1461" t="s">
        <v>3492</v>
      </c>
      <c r="B62" s="1460"/>
      <c r="C62" s="1459">
        <v>10000</v>
      </c>
      <c r="D62" s="1462"/>
      <c r="E62" s="1894">
        <v>10000</v>
      </c>
      <c r="O62" s="1541">
        <f t="shared" si="10"/>
        <v>0</v>
      </c>
      <c r="P62" s="1541">
        <f t="shared" si="11"/>
        <v>10000</v>
      </c>
      <c r="Q62" s="1541">
        <f t="shared" si="12"/>
        <v>0</v>
      </c>
      <c r="R62" s="1541">
        <f t="shared" si="13"/>
        <v>10000</v>
      </c>
    </row>
    <row r="63" spans="1:18" x14ac:dyDescent="0.3">
      <c r="A63" s="1461" t="s">
        <v>2382</v>
      </c>
      <c r="B63" s="1460"/>
      <c r="C63" s="1459">
        <v>45000</v>
      </c>
      <c r="D63" s="1462"/>
      <c r="E63" s="1894">
        <v>45000</v>
      </c>
      <c r="O63" s="1541">
        <f t="shared" si="10"/>
        <v>0</v>
      </c>
      <c r="P63" s="1541">
        <f t="shared" si="11"/>
        <v>45000</v>
      </c>
      <c r="Q63" s="1541">
        <f t="shared" si="12"/>
        <v>0</v>
      </c>
      <c r="R63" s="1541">
        <f t="shared" si="13"/>
        <v>45000</v>
      </c>
    </row>
    <row r="64" spans="1:18" x14ac:dyDescent="0.3">
      <c r="A64" s="1461" t="s">
        <v>3493</v>
      </c>
      <c r="B64" s="1460"/>
      <c r="C64" s="1459">
        <v>24127</v>
      </c>
      <c r="D64" s="1462"/>
      <c r="E64" s="1894">
        <v>24127</v>
      </c>
      <c r="O64" s="1541">
        <f t="shared" si="10"/>
        <v>0</v>
      </c>
      <c r="P64" s="1541">
        <f t="shared" si="11"/>
        <v>24127</v>
      </c>
      <c r="Q64" s="1541">
        <f t="shared" si="12"/>
        <v>0</v>
      </c>
      <c r="R64" s="1541">
        <f t="shared" si="13"/>
        <v>24127</v>
      </c>
    </row>
    <row r="65" spans="1:18" x14ac:dyDescent="0.3">
      <c r="A65" s="1461" t="s">
        <v>3487</v>
      </c>
      <c r="B65" s="1460"/>
      <c r="C65" s="1459">
        <v>3.01</v>
      </c>
      <c r="D65" s="1459">
        <v>0.73</v>
      </c>
      <c r="E65" s="1894">
        <v>2.2799999999999998</v>
      </c>
      <c r="O65" s="1541">
        <f t="shared" si="10"/>
        <v>0</v>
      </c>
      <c r="P65" s="1541">
        <f t="shared" si="11"/>
        <v>3.01</v>
      </c>
      <c r="Q65" s="1541">
        <f t="shared" si="12"/>
        <v>0.73</v>
      </c>
      <c r="R65" s="1541">
        <f t="shared" si="13"/>
        <v>2.2799999999999998</v>
      </c>
    </row>
    <row r="66" spans="1:18" x14ac:dyDescent="0.3">
      <c r="A66" s="1461" t="s">
        <v>3498</v>
      </c>
      <c r="B66" s="1460"/>
      <c r="C66" s="1459">
        <v>287.89999999999998</v>
      </c>
      <c r="D66" s="1459">
        <v>210.59</v>
      </c>
      <c r="E66" s="1894">
        <v>77.31</v>
      </c>
      <c r="O66" s="1541">
        <f t="shared" si="10"/>
        <v>0</v>
      </c>
      <c r="P66" s="1541">
        <f t="shared" si="11"/>
        <v>287.89999999999998</v>
      </c>
      <c r="Q66" s="1541">
        <f t="shared" si="12"/>
        <v>210.59</v>
      </c>
      <c r="R66" s="1541">
        <f t="shared" si="13"/>
        <v>77.31</v>
      </c>
    </row>
    <row r="67" spans="1:18" x14ac:dyDescent="0.3">
      <c r="A67" s="1461" t="s">
        <v>3515</v>
      </c>
      <c r="B67" s="1460"/>
      <c r="C67" s="1459">
        <v>1580</v>
      </c>
      <c r="D67" s="1462"/>
      <c r="E67" s="1894">
        <v>1580</v>
      </c>
      <c r="O67" s="1541">
        <f t="shared" si="10"/>
        <v>0</v>
      </c>
      <c r="P67" s="1541">
        <f t="shared" si="11"/>
        <v>1580</v>
      </c>
      <c r="Q67" s="1541">
        <f t="shared" si="12"/>
        <v>0</v>
      </c>
      <c r="R67" s="1541">
        <f t="shared" si="13"/>
        <v>1580</v>
      </c>
    </row>
    <row r="68" spans="1:18" x14ac:dyDescent="0.3">
      <c r="A68" s="1461" t="s">
        <v>3512</v>
      </c>
      <c r="B68" s="1460"/>
      <c r="C68" s="1459">
        <v>14307.19</v>
      </c>
      <c r="D68" s="1462"/>
      <c r="E68" s="1894">
        <v>14307.19</v>
      </c>
      <c r="H68" s="1461" t="s">
        <v>3512</v>
      </c>
      <c r="I68" s="1460"/>
      <c r="J68" s="1459">
        <v>7000</v>
      </c>
      <c r="K68" s="1462"/>
      <c r="L68" s="1894">
        <v>7000</v>
      </c>
      <c r="O68" s="1541">
        <f t="shared" si="10"/>
        <v>0</v>
      </c>
      <c r="P68" s="1541">
        <f t="shared" si="11"/>
        <v>21307.190000000002</v>
      </c>
      <c r="Q68" s="1541">
        <f t="shared" si="12"/>
        <v>0</v>
      </c>
      <c r="R68" s="1541">
        <f t="shared" si="13"/>
        <v>21307.190000000002</v>
      </c>
    </row>
    <row r="69" spans="1:18" x14ac:dyDescent="0.3">
      <c r="A69" s="1461" t="s">
        <v>3473</v>
      </c>
      <c r="B69" s="1460"/>
      <c r="C69" s="1459">
        <v>13954</v>
      </c>
      <c r="D69" s="1462"/>
      <c r="E69" s="1894">
        <v>13954</v>
      </c>
      <c r="O69" s="1541">
        <f t="shared" si="10"/>
        <v>0</v>
      </c>
      <c r="P69" s="1541">
        <f t="shared" si="11"/>
        <v>13954</v>
      </c>
      <c r="Q69" s="1541">
        <f t="shared" si="12"/>
        <v>0</v>
      </c>
      <c r="R69" s="1541">
        <f t="shared" si="13"/>
        <v>13954</v>
      </c>
    </row>
    <row r="70" spans="1:18" x14ac:dyDescent="0.3">
      <c r="A70" s="1461" t="s">
        <v>272</v>
      </c>
      <c r="B70" s="1460"/>
      <c r="C70" s="1459">
        <v>8291.15</v>
      </c>
      <c r="D70" s="1462"/>
      <c r="E70" s="1894">
        <v>8291.15</v>
      </c>
      <c r="O70" s="1541">
        <f t="shared" si="10"/>
        <v>0</v>
      </c>
      <c r="P70" s="1541">
        <f t="shared" si="11"/>
        <v>8291.15</v>
      </c>
      <c r="Q70" s="1541">
        <f t="shared" si="12"/>
        <v>0</v>
      </c>
      <c r="R70" s="1541">
        <f t="shared" si="13"/>
        <v>8291.15</v>
      </c>
    </row>
    <row r="71" spans="1:18" x14ac:dyDescent="0.3">
      <c r="A71" s="1461" t="s">
        <v>2195</v>
      </c>
      <c r="B71" s="1460"/>
      <c r="C71" s="1459">
        <v>3425</v>
      </c>
      <c r="D71" s="1462"/>
      <c r="E71" s="1894">
        <v>3425</v>
      </c>
      <c r="O71" s="1541">
        <f t="shared" si="10"/>
        <v>0</v>
      </c>
      <c r="P71" s="1541">
        <f t="shared" si="11"/>
        <v>3425</v>
      </c>
      <c r="Q71" s="1541">
        <f t="shared" si="12"/>
        <v>0</v>
      </c>
      <c r="R71" s="1541">
        <f t="shared" si="13"/>
        <v>3425</v>
      </c>
    </row>
    <row r="72" spans="1:18" x14ac:dyDescent="0.3">
      <c r="A72" s="1461" t="s">
        <v>2198</v>
      </c>
      <c r="B72" s="1460"/>
      <c r="C72" s="1459">
        <v>65232</v>
      </c>
      <c r="D72" s="1462"/>
      <c r="E72" s="1894">
        <v>65232</v>
      </c>
      <c r="O72" s="1541">
        <f t="shared" si="10"/>
        <v>0</v>
      </c>
      <c r="P72" s="1541">
        <f t="shared" si="11"/>
        <v>65232</v>
      </c>
      <c r="Q72" s="1541">
        <f t="shared" si="12"/>
        <v>0</v>
      </c>
      <c r="R72" s="1541">
        <f t="shared" si="13"/>
        <v>65232</v>
      </c>
    </row>
    <row r="73" spans="1:18" x14ac:dyDescent="0.3">
      <c r="A73" s="1461" t="s">
        <v>3500</v>
      </c>
      <c r="B73" s="1460"/>
      <c r="C73" s="1459">
        <v>30000</v>
      </c>
      <c r="D73" s="1462"/>
      <c r="E73" s="1894">
        <v>30000</v>
      </c>
      <c r="O73" s="1541">
        <f t="shared" si="10"/>
        <v>0</v>
      </c>
      <c r="P73" s="1541">
        <f t="shared" si="11"/>
        <v>30000</v>
      </c>
      <c r="Q73" s="1541">
        <f t="shared" si="12"/>
        <v>0</v>
      </c>
      <c r="R73" s="1541">
        <f t="shared" si="13"/>
        <v>30000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3"/>
  <sheetViews>
    <sheetView workbookViewId="0">
      <selection activeCell="I21" sqref="I21"/>
    </sheetView>
  </sheetViews>
  <sheetFormatPr defaultColWidth="9.109375" defaultRowHeight="15.6" x14ac:dyDescent="0.3"/>
  <cols>
    <col min="1" max="1" width="6.33203125" style="604" customWidth="1"/>
    <col min="2" max="2" width="33.33203125" style="604" customWidth="1"/>
    <col min="3" max="8" width="18.109375" style="604" customWidth="1"/>
    <col min="9" max="9" width="9.109375" style="604"/>
    <col min="10" max="10" width="12.6640625" style="604" bestFit="1" customWidth="1"/>
    <col min="11" max="252" width="9.109375" style="604"/>
    <col min="253" max="253" width="4.44140625" style="604" bestFit="1" customWidth="1"/>
    <col min="254" max="254" width="23.88671875" style="604" bestFit="1" customWidth="1"/>
    <col min="255" max="255" width="14.33203125" style="604" bestFit="1" customWidth="1"/>
    <col min="256" max="256" width="11.44140625" style="604" bestFit="1" customWidth="1"/>
    <col min="257" max="257" width="14.44140625" style="604" bestFit="1" customWidth="1"/>
    <col min="258" max="259" width="14.33203125" style="604" bestFit="1" customWidth="1"/>
    <col min="260" max="260" width="14" style="604" bestFit="1" customWidth="1"/>
    <col min="261" max="261" width="14.44140625" style="604" bestFit="1" customWidth="1"/>
    <col min="262" max="264" width="14.33203125" style="604" bestFit="1" customWidth="1"/>
    <col min="265" max="265" width="9.109375" style="604"/>
    <col min="266" max="266" width="12.6640625" style="604" bestFit="1" customWidth="1"/>
    <col min="267" max="508" width="9.109375" style="604"/>
    <col min="509" max="509" width="4.44140625" style="604" bestFit="1" customWidth="1"/>
    <col min="510" max="510" width="23.88671875" style="604" bestFit="1" customWidth="1"/>
    <col min="511" max="511" width="14.33203125" style="604" bestFit="1" customWidth="1"/>
    <col min="512" max="512" width="11.44140625" style="604" bestFit="1" customWidth="1"/>
    <col min="513" max="513" width="14.44140625" style="604" bestFit="1" customWidth="1"/>
    <col min="514" max="515" width="14.33203125" style="604" bestFit="1" customWidth="1"/>
    <col min="516" max="516" width="14" style="604" bestFit="1" customWidth="1"/>
    <col min="517" max="517" width="14.44140625" style="604" bestFit="1" customWidth="1"/>
    <col min="518" max="520" width="14.33203125" style="604" bestFit="1" customWidth="1"/>
    <col min="521" max="521" width="9.109375" style="604"/>
    <col min="522" max="522" width="12.6640625" style="604" bestFit="1" customWidth="1"/>
    <col min="523" max="764" width="9.109375" style="604"/>
    <col min="765" max="765" width="4.44140625" style="604" bestFit="1" customWidth="1"/>
    <col min="766" max="766" width="23.88671875" style="604" bestFit="1" customWidth="1"/>
    <col min="767" max="767" width="14.33203125" style="604" bestFit="1" customWidth="1"/>
    <col min="768" max="768" width="11.44140625" style="604" bestFit="1" customWidth="1"/>
    <col min="769" max="769" width="14.44140625" style="604" bestFit="1" customWidth="1"/>
    <col min="770" max="771" width="14.33203125" style="604" bestFit="1" customWidth="1"/>
    <col min="772" max="772" width="14" style="604" bestFit="1" customWidth="1"/>
    <col min="773" max="773" width="14.44140625" style="604" bestFit="1" customWidth="1"/>
    <col min="774" max="776" width="14.33203125" style="604" bestFit="1" customWidth="1"/>
    <col min="777" max="777" width="9.109375" style="604"/>
    <col min="778" max="778" width="12.6640625" style="604" bestFit="1" customWidth="1"/>
    <col min="779" max="1020" width="9.109375" style="604"/>
    <col min="1021" max="1021" width="4.44140625" style="604" bestFit="1" customWidth="1"/>
    <col min="1022" max="1022" width="23.88671875" style="604" bestFit="1" customWidth="1"/>
    <col min="1023" max="1023" width="14.33203125" style="604" bestFit="1" customWidth="1"/>
    <col min="1024" max="1024" width="11.44140625" style="604" bestFit="1" customWidth="1"/>
    <col min="1025" max="1025" width="14.44140625" style="604" bestFit="1" customWidth="1"/>
    <col min="1026" max="1027" width="14.33203125" style="604" bestFit="1" customWidth="1"/>
    <col min="1028" max="1028" width="14" style="604" bestFit="1" customWidth="1"/>
    <col min="1029" max="1029" width="14.44140625" style="604" bestFit="1" customWidth="1"/>
    <col min="1030" max="1032" width="14.33203125" style="604" bestFit="1" customWidth="1"/>
    <col min="1033" max="1033" width="9.109375" style="604"/>
    <col min="1034" max="1034" width="12.6640625" style="604" bestFit="1" customWidth="1"/>
    <col min="1035" max="1276" width="9.109375" style="604"/>
    <col min="1277" max="1277" width="4.44140625" style="604" bestFit="1" customWidth="1"/>
    <col min="1278" max="1278" width="23.88671875" style="604" bestFit="1" customWidth="1"/>
    <col min="1279" max="1279" width="14.33203125" style="604" bestFit="1" customWidth="1"/>
    <col min="1280" max="1280" width="11.44140625" style="604" bestFit="1" customWidth="1"/>
    <col min="1281" max="1281" width="14.44140625" style="604" bestFit="1" customWidth="1"/>
    <col min="1282" max="1283" width="14.33203125" style="604" bestFit="1" customWidth="1"/>
    <col min="1284" max="1284" width="14" style="604" bestFit="1" customWidth="1"/>
    <col min="1285" max="1285" width="14.44140625" style="604" bestFit="1" customWidth="1"/>
    <col min="1286" max="1288" width="14.33203125" style="604" bestFit="1" customWidth="1"/>
    <col min="1289" max="1289" width="9.109375" style="604"/>
    <col min="1290" max="1290" width="12.6640625" style="604" bestFit="1" customWidth="1"/>
    <col min="1291" max="1532" width="9.109375" style="604"/>
    <col min="1533" max="1533" width="4.44140625" style="604" bestFit="1" customWidth="1"/>
    <col min="1534" max="1534" width="23.88671875" style="604" bestFit="1" customWidth="1"/>
    <col min="1535" max="1535" width="14.33203125" style="604" bestFit="1" customWidth="1"/>
    <col min="1536" max="1536" width="11.44140625" style="604" bestFit="1" customWidth="1"/>
    <col min="1537" max="1537" width="14.44140625" style="604" bestFit="1" customWidth="1"/>
    <col min="1538" max="1539" width="14.33203125" style="604" bestFit="1" customWidth="1"/>
    <col min="1540" max="1540" width="14" style="604" bestFit="1" customWidth="1"/>
    <col min="1541" max="1541" width="14.44140625" style="604" bestFit="1" customWidth="1"/>
    <col min="1542" max="1544" width="14.33203125" style="604" bestFit="1" customWidth="1"/>
    <col min="1545" max="1545" width="9.109375" style="604"/>
    <col min="1546" max="1546" width="12.6640625" style="604" bestFit="1" customWidth="1"/>
    <col min="1547" max="1788" width="9.109375" style="604"/>
    <col min="1789" max="1789" width="4.44140625" style="604" bestFit="1" customWidth="1"/>
    <col min="1790" max="1790" width="23.88671875" style="604" bestFit="1" customWidth="1"/>
    <col min="1791" max="1791" width="14.33203125" style="604" bestFit="1" customWidth="1"/>
    <col min="1792" max="1792" width="11.44140625" style="604" bestFit="1" customWidth="1"/>
    <col min="1793" max="1793" width="14.44140625" style="604" bestFit="1" customWidth="1"/>
    <col min="1794" max="1795" width="14.33203125" style="604" bestFit="1" customWidth="1"/>
    <col min="1796" max="1796" width="14" style="604" bestFit="1" customWidth="1"/>
    <col min="1797" max="1797" width="14.44140625" style="604" bestFit="1" customWidth="1"/>
    <col min="1798" max="1800" width="14.33203125" style="604" bestFit="1" customWidth="1"/>
    <col min="1801" max="1801" width="9.109375" style="604"/>
    <col min="1802" max="1802" width="12.6640625" style="604" bestFit="1" customWidth="1"/>
    <col min="1803" max="2044" width="9.109375" style="604"/>
    <col min="2045" max="2045" width="4.44140625" style="604" bestFit="1" customWidth="1"/>
    <col min="2046" max="2046" width="23.88671875" style="604" bestFit="1" customWidth="1"/>
    <col min="2047" max="2047" width="14.33203125" style="604" bestFit="1" customWidth="1"/>
    <col min="2048" max="2048" width="11.44140625" style="604" bestFit="1" customWidth="1"/>
    <col min="2049" max="2049" width="14.44140625" style="604" bestFit="1" customWidth="1"/>
    <col min="2050" max="2051" width="14.33203125" style="604" bestFit="1" customWidth="1"/>
    <col min="2052" max="2052" width="14" style="604" bestFit="1" customWidth="1"/>
    <col min="2053" max="2053" width="14.44140625" style="604" bestFit="1" customWidth="1"/>
    <col min="2054" max="2056" width="14.33203125" style="604" bestFit="1" customWidth="1"/>
    <col min="2057" max="2057" width="9.109375" style="604"/>
    <col min="2058" max="2058" width="12.6640625" style="604" bestFit="1" customWidth="1"/>
    <col min="2059" max="2300" width="9.109375" style="604"/>
    <col min="2301" max="2301" width="4.44140625" style="604" bestFit="1" customWidth="1"/>
    <col min="2302" max="2302" width="23.88671875" style="604" bestFit="1" customWidth="1"/>
    <col min="2303" max="2303" width="14.33203125" style="604" bestFit="1" customWidth="1"/>
    <col min="2304" max="2304" width="11.44140625" style="604" bestFit="1" customWidth="1"/>
    <col min="2305" max="2305" width="14.44140625" style="604" bestFit="1" customWidth="1"/>
    <col min="2306" max="2307" width="14.33203125" style="604" bestFit="1" customWidth="1"/>
    <col min="2308" max="2308" width="14" style="604" bestFit="1" customWidth="1"/>
    <col min="2309" max="2309" width="14.44140625" style="604" bestFit="1" customWidth="1"/>
    <col min="2310" max="2312" width="14.33203125" style="604" bestFit="1" customWidth="1"/>
    <col min="2313" max="2313" width="9.109375" style="604"/>
    <col min="2314" max="2314" width="12.6640625" style="604" bestFit="1" customWidth="1"/>
    <col min="2315" max="2556" width="9.109375" style="604"/>
    <col min="2557" max="2557" width="4.44140625" style="604" bestFit="1" customWidth="1"/>
    <col min="2558" max="2558" width="23.88671875" style="604" bestFit="1" customWidth="1"/>
    <col min="2559" max="2559" width="14.33203125" style="604" bestFit="1" customWidth="1"/>
    <col min="2560" max="2560" width="11.44140625" style="604" bestFit="1" customWidth="1"/>
    <col min="2561" max="2561" width="14.44140625" style="604" bestFit="1" customWidth="1"/>
    <col min="2562" max="2563" width="14.33203125" style="604" bestFit="1" customWidth="1"/>
    <col min="2564" max="2564" width="14" style="604" bestFit="1" customWidth="1"/>
    <col min="2565" max="2565" width="14.44140625" style="604" bestFit="1" customWidth="1"/>
    <col min="2566" max="2568" width="14.33203125" style="604" bestFit="1" customWidth="1"/>
    <col min="2569" max="2569" width="9.109375" style="604"/>
    <col min="2570" max="2570" width="12.6640625" style="604" bestFit="1" customWidth="1"/>
    <col min="2571" max="2812" width="9.109375" style="604"/>
    <col min="2813" max="2813" width="4.44140625" style="604" bestFit="1" customWidth="1"/>
    <col min="2814" max="2814" width="23.88671875" style="604" bestFit="1" customWidth="1"/>
    <col min="2815" max="2815" width="14.33203125" style="604" bestFit="1" customWidth="1"/>
    <col min="2816" max="2816" width="11.44140625" style="604" bestFit="1" customWidth="1"/>
    <col min="2817" max="2817" width="14.44140625" style="604" bestFit="1" customWidth="1"/>
    <col min="2818" max="2819" width="14.33203125" style="604" bestFit="1" customWidth="1"/>
    <col min="2820" max="2820" width="14" style="604" bestFit="1" customWidth="1"/>
    <col min="2821" max="2821" width="14.44140625" style="604" bestFit="1" customWidth="1"/>
    <col min="2822" max="2824" width="14.33203125" style="604" bestFit="1" customWidth="1"/>
    <col min="2825" max="2825" width="9.109375" style="604"/>
    <col min="2826" max="2826" width="12.6640625" style="604" bestFit="1" customWidth="1"/>
    <col min="2827" max="3068" width="9.109375" style="604"/>
    <col min="3069" max="3069" width="4.44140625" style="604" bestFit="1" customWidth="1"/>
    <col min="3070" max="3070" width="23.88671875" style="604" bestFit="1" customWidth="1"/>
    <col min="3071" max="3071" width="14.33203125" style="604" bestFit="1" customWidth="1"/>
    <col min="3072" max="3072" width="11.44140625" style="604" bestFit="1" customWidth="1"/>
    <col min="3073" max="3073" width="14.44140625" style="604" bestFit="1" customWidth="1"/>
    <col min="3074" max="3075" width="14.33203125" style="604" bestFit="1" customWidth="1"/>
    <col min="3076" max="3076" width="14" style="604" bestFit="1" customWidth="1"/>
    <col min="3077" max="3077" width="14.44140625" style="604" bestFit="1" customWidth="1"/>
    <col min="3078" max="3080" width="14.33203125" style="604" bestFit="1" customWidth="1"/>
    <col min="3081" max="3081" width="9.109375" style="604"/>
    <col min="3082" max="3082" width="12.6640625" style="604" bestFit="1" customWidth="1"/>
    <col min="3083" max="3324" width="9.109375" style="604"/>
    <col min="3325" max="3325" width="4.44140625" style="604" bestFit="1" customWidth="1"/>
    <col min="3326" max="3326" width="23.88671875" style="604" bestFit="1" customWidth="1"/>
    <col min="3327" max="3327" width="14.33203125" style="604" bestFit="1" customWidth="1"/>
    <col min="3328" max="3328" width="11.44140625" style="604" bestFit="1" customWidth="1"/>
    <col min="3329" max="3329" width="14.44140625" style="604" bestFit="1" customWidth="1"/>
    <col min="3330" max="3331" width="14.33203125" style="604" bestFit="1" customWidth="1"/>
    <col min="3332" max="3332" width="14" style="604" bestFit="1" customWidth="1"/>
    <col min="3333" max="3333" width="14.44140625" style="604" bestFit="1" customWidth="1"/>
    <col min="3334" max="3336" width="14.33203125" style="604" bestFit="1" customWidth="1"/>
    <col min="3337" max="3337" width="9.109375" style="604"/>
    <col min="3338" max="3338" width="12.6640625" style="604" bestFit="1" customWidth="1"/>
    <col min="3339" max="3580" width="9.109375" style="604"/>
    <col min="3581" max="3581" width="4.44140625" style="604" bestFit="1" customWidth="1"/>
    <col min="3582" max="3582" width="23.88671875" style="604" bestFit="1" customWidth="1"/>
    <col min="3583" max="3583" width="14.33203125" style="604" bestFit="1" customWidth="1"/>
    <col min="3584" max="3584" width="11.44140625" style="604" bestFit="1" customWidth="1"/>
    <col min="3585" max="3585" width="14.44140625" style="604" bestFit="1" customWidth="1"/>
    <col min="3586" max="3587" width="14.33203125" style="604" bestFit="1" customWidth="1"/>
    <col min="3588" max="3588" width="14" style="604" bestFit="1" customWidth="1"/>
    <col min="3589" max="3589" width="14.44140625" style="604" bestFit="1" customWidth="1"/>
    <col min="3590" max="3592" width="14.33203125" style="604" bestFit="1" customWidth="1"/>
    <col min="3593" max="3593" width="9.109375" style="604"/>
    <col min="3594" max="3594" width="12.6640625" style="604" bestFit="1" customWidth="1"/>
    <col min="3595" max="3836" width="9.109375" style="604"/>
    <col min="3837" max="3837" width="4.44140625" style="604" bestFit="1" customWidth="1"/>
    <col min="3838" max="3838" width="23.88671875" style="604" bestFit="1" customWidth="1"/>
    <col min="3839" max="3839" width="14.33203125" style="604" bestFit="1" customWidth="1"/>
    <col min="3840" max="3840" width="11.44140625" style="604" bestFit="1" customWidth="1"/>
    <col min="3841" max="3841" width="14.44140625" style="604" bestFit="1" customWidth="1"/>
    <col min="3842" max="3843" width="14.33203125" style="604" bestFit="1" customWidth="1"/>
    <col min="3844" max="3844" width="14" style="604" bestFit="1" customWidth="1"/>
    <col min="3845" max="3845" width="14.44140625" style="604" bestFit="1" customWidth="1"/>
    <col min="3846" max="3848" width="14.33203125" style="604" bestFit="1" customWidth="1"/>
    <col min="3849" max="3849" width="9.109375" style="604"/>
    <col min="3850" max="3850" width="12.6640625" style="604" bestFit="1" customWidth="1"/>
    <col min="3851" max="4092" width="9.109375" style="604"/>
    <col min="4093" max="4093" width="4.44140625" style="604" bestFit="1" customWidth="1"/>
    <col min="4094" max="4094" width="23.88671875" style="604" bestFit="1" customWidth="1"/>
    <col min="4095" max="4095" width="14.33203125" style="604" bestFit="1" customWidth="1"/>
    <col min="4096" max="4096" width="11.44140625" style="604" bestFit="1" customWidth="1"/>
    <col min="4097" max="4097" width="14.44140625" style="604" bestFit="1" customWidth="1"/>
    <col min="4098" max="4099" width="14.33203125" style="604" bestFit="1" customWidth="1"/>
    <col min="4100" max="4100" width="14" style="604" bestFit="1" customWidth="1"/>
    <col min="4101" max="4101" width="14.44140625" style="604" bestFit="1" customWidth="1"/>
    <col min="4102" max="4104" width="14.33203125" style="604" bestFit="1" customWidth="1"/>
    <col min="4105" max="4105" width="9.109375" style="604"/>
    <col min="4106" max="4106" width="12.6640625" style="604" bestFit="1" customWidth="1"/>
    <col min="4107" max="4348" width="9.109375" style="604"/>
    <col min="4349" max="4349" width="4.44140625" style="604" bestFit="1" customWidth="1"/>
    <col min="4350" max="4350" width="23.88671875" style="604" bestFit="1" customWidth="1"/>
    <col min="4351" max="4351" width="14.33203125" style="604" bestFit="1" customWidth="1"/>
    <col min="4352" max="4352" width="11.44140625" style="604" bestFit="1" customWidth="1"/>
    <col min="4353" max="4353" width="14.44140625" style="604" bestFit="1" customWidth="1"/>
    <col min="4354" max="4355" width="14.33203125" style="604" bestFit="1" customWidth="1"/>
    <col min="4356" max="4356" width="14" style="604" bestFit="1" customWidth="1"/>
    <col min="4357" max="4357" width="14.44140625" style="604" bestFit="1" customWidth="1"/>
    <col min="4358" max="4360" width="14.33203125" style="604" bestFit="1" customWidth="1"/>
    <col min="4361" max="4361" width="9.109375" style="604"/>
    <col min="4362" max="4362" width="12.6640625" style="604" bestFit="1" customWidth="1"/>
    <col min="4363" max="4604" width="9.109375" style="604"/>
    <col min="4605" max="4605" width="4.44140625" style="604" bestFit="1" customWidth="1"/>
    <col min="4606" max="4606" width="23.88671875" style="604" bestFit="1" customWidth="1"/>
    <col min="4607" max="4607" width="14.33203125" style="604" bestFit="1" customWidth="1"/>
    <col min="4608" max="4608" width="11.44140625" style="604" bestFit="1" customWidth="1"/>
    <col min="4609" max="4609" width="14.44140625" style="604" bestFit="1" customWidth="1"/>
    <col min="4610" max="4611" width="14.33203125" style="604" bestFit="1" customWidth="1"/>
    <col min="4612" max="4612" width="14" style="604" bestFit="1" customWidth="1"/>
    <col min="4613" max="4613" width="14.44140625" style="604" bestFit="1" customWidth="1"/>
    <col min="4614" max="4616" width="14.33203125" style="604" bestFit="1" customWidth="1"/>
    <col min="4617" max="4617" width="9.109375" style="604"/>
    <col min="4618" max="4618" width="12.6640625" style="604" bestFit="1" customWidth="1"/>
    <col min="4619" max="4860" width="9.109375" style="604"/>
    <col min="4861" max="4861" width="4.44140625" style="604" bestFit="1" customWidth="1"/>
    <col min="4862" max="4862" width="23.88671875" style="604" bestFit="1" customWidth="1"/>
    <col min="4863" max="4863" width="14.33203125" style="604" bestFit="1" customWidth="1"/>
    <col min="4864" max="4864" width="11.44140625" style="604" bestFit="1" customWidth="1"/>
    <col min="4865" max="4865" width="14.44140625" style="604" bestFit="1" customWidth="1"/>
    <col min="4866" max="4867" width="14.33203125" style="604" bestFit="1" customWidth="1"/>
    <col min="4868" max="4868" width="14" style="604" bestFit="1" customWidth="1"/>
    <col min="4869" max="4869" width="14.44140625" style="604" bestFit="1" customWidth="1"/>
    <col min="4870" max="4872" width="14.33203125" style="604" bestFit="1" customWidth="1"/>
    <col min="4873" max="4873" width="9.109375" style="604"/>
    <col min="4874" max="4874" width="12.6640625" style="604" bestFit="1" customWidth="1"/>
    <col min="4875" max="5116" width="9.109375" style="604"/>
    <col min="5117" max="5117" width="4.44140625" style="604" bestFit="1" customWidth="1"/>
    <col min="5118" max="5118" width="23.88671875" style="604" bestFit="1" customWidth="1"/>
    <col min="5119" max="5119" width="14.33203125" style="604" bestFit="1" customWidth="1"/>
    <col min="5120" max="5120" width="11.44140625" style="604" bestFit="1" customWidth="1"/>
    <col min="5121" max="5121" width="14.44140625" style="604" bestFit="1" customWidth="1"/>
    <col min="5122" max="5123" width="14.33203125" style="604" bestFit="1" customWidth="1"/>
    <col min="5124" max="5124" width="14" style="604" bestFit="1" customWidth="1"/>
    <col min="5125" max="5125" width="14.44140625" style="604" bestFit="1" customWidth="1"/>
    <col min="5126" max="5128" width="14.33203125" style="604" bestFit="1" customWidth="1"/>
    <col min="5129" max="5129" width="9.109375" style="604"/>
    <col min="5130" max="5130" width="12.6640625" style="604" bestFit="1" customWidth="1"/>
    <col min="5131" max="5372" width="9.109375" style="604"/>
    <col min="5373" max="5373" width="4.44140625" style="604" bestFit="1" customWidth="1"/>
    <col min="5374" max="5374" width="23.88671875" style="604" bestFit="1" customWidth="1"/>
    <col min="5375" max="5375" width="14.33203125" style="604" bestFit="1" customWidth="1"/>
    <col min="5376" max="5376" width="11.44140625" style="604" bestFit="1" customWidth="1"/>
    <col min="5377" max="5377" width="14.44140625" style="604" bestFit="1" customWidth="1"/>
    <col min="5378" max="5379" width="14.33203125" style="604" bestFit="1" customWidth="1"/>
    <col min="5380" max="5380" width="14" style="604" bestFit="1" customWidth="1"/>
    <col min="5381" max="5381" width="14.44140625" style="604" bestFit="1" customWidth="1"/>
    <col min="5382" max="5384" width="14.33203125" style="604" bestFit="1" customWidth="1"/>
    <col min="5385" max="5385" width="9.109375" style="604"/>
    <col min="5386" max="5386" width="12.6640625" style="604" bestFit="1" customWidth="1"/>
    <col min="5387" max="5628" width="9.109375" style="604"/>
    <col min="5629" max="5629" width="4.44140625" style="604" bestFit="1" customWidth="1"/>
    <col min="5630" max="5630" width="23.88671875" style="604" bestFit="1" customWidth="1"/>
    <col min="5631" max="5631" width="14.33203125" style="604" bestFit="1" customWidth="1"/>
    <col min="5632" max="5632" width="11.44140625" style="604" bestFit="1" customWidth="1"/>
    <col min="5633" max="5633" width="14.44140625" style="604" bestFit="1" customWidth="1"/>
    <col min="5634" max="5635" width="14.33203125" style="604" bestFit="1" customWidth="1"/>
    <col min="5636" max="5636" width="14" style="604" bestFit="1" customWidth="1"/>
    <col min="5637" max="5637" width="14.44140625" style="604" bestFit="1" customWidth="1"/>
    <col min="5638" max="5640" width="14.33203125" style="604" bestFit="1" customWidth="1"/>
    <col min="5641" max="5641" width="9.109375" style="604"/>
    <col min="5642" max="5642" width="12.6640625" style="604" bestFit="1" customWidth="1"/>
    <col min="5643" max="5884" width="9.109375" style="604"/>
    <col min="5885" max="5885" width="4.44140625" style="604" bestFit="1" customWidth="1"/>
    <col min="5886" max="5886" width="23.88671875" style="604" bestFit="1" customWidth="1"/>
    <col min="5887" max="5887" width="14.33203125" style="604" bestFit="1" customWidth="1"/>
    <col min="5888" max="5888" width="11.44140625" style="604" bestFit="1" customWidth="1"/>
    <col min="5889" max="5889" width="14.44140625" style="604" bestFit="1" customWidth="1"/>
    <col min="5890" max="5891" width="14.33203125" style="604" bestFit="1" customWidth="1"/>
    <col min="5892" max="5892" width="14" style="604" bestFit="1" customWidth="1"/>
    <col min="5893" max="5893" width="14.44140625" style="604" bestFit="1" customWidth="1"/>
    <col min="5894" max="5896" width="14.33203125" style="604" bestFit="1" customWidth="1"/>
    <col min="5897" max="5897" width="9.109375" style="604"/>
    <col min="5898" max="5898" width="12.6640625" style="604" bestFit="1" customWidth="1"/>
    <col min="5899" max="6140" width="9.109375" style="604"/>
    <col min="6141" max="6141" width="4.44140625" style="604" bestFit="1" customWidth="1"/>
    <col min="6142" max="6142" width="23.88671875" style="604" bestFit="1" customWidth="1"/>
    <col min="6143" max="6143" width="14.33203125" style="604" bestFit="1" customWidth="1"/>
    <col min="6144" max="6144" width="11.44140625" style="604" bestFit="1" customWidth="1"/>
    <col min="6145" max="6145" width="14.44140625" style="604" bestFit="1" customWidth="1"/>
    <col min="6146" max="6147" width="14.33203125" style="604" bestFit="1" customWidth="1"/>
    <col min="6148" max="6148" width="14" style="604" bestFit="1" customWidth="1"/>
    <col min="6149" max="6149" width="14.44140625" style="604" bestFit="1" customWidth="1"/>
    <col min="6150" max="6152" width="14.33203125" style="604" bestFit="1" customWidth="1"/>
    <col min="6153" max="6153" width="9.109375" style="604"/>
    <col min="6154" max="6154" width="12.6640625" style="604" bestFit="1" customWidth="1"/>
    <col min="6155" max="6396" width="9.109375" style="604"/>
    <col min="6397" max="6397" width="4.44140625" style="604" bestFit="1" customWidth="1"/>
    <col min="6398" max="6398" width="23.88671875" style="604" bestFit="1" customWidth="1"/>
    <col min="6399" max="6399" width="14.33203125" style="604" bestFit="1" customWidth="1"/>
    <col min="6400" max="6400" width="11.44140625" style="604" bestFit="1" customWidth="1"/>
    <col min="6401" max="6401" width="14.44140625" style="604" bestFit="1" customWidth="1"/>
    <col min="6402" max="6403" width="14.33203125" style="604" bestFit="1" customWidth="1"/>
    <col min="6404" max="6404" width="14" style="604" bestFit="1" customWidth="1"/>
    <col min="6405" max="6405" width="14.44140625" style="604" bestFit="1" customWidth="1"/>
    <col min="6406" max="6408" width="14.33203125" style="604" bestFit="1" customWidth="1"/>
    <col min="6409" max="6409" width="9.109375" style="604"/>
    <col min="6410" max="6410" width="12.6640625" style="604" bestFit="1" customWidth="1"/>
    <col min="6411" max="6652" width="9.109375" style="604"/>
    <col min="6653" max="6653" width="4.44140625" style="604" bestFit="1" customWidth="1"/>
    <col min="6654" max="6654" width="23.88671875" style="604" bestFit="1" customWidth="1"/>
    <col min="6655" max="6655" width="14.33203125" style="604" bestFit="1" customWidth="1"/>
    <col min="6656" max="6656" width="11.44140625" style="604" bestFit="1" customWidth="1"/>
    <col min="6657" max="6657" width="14.44140625" style="604" bestFit="1" customWidth="1"/>
    <col min="6658" max="6659" width="14.33203125" style="604" bestFit="1" customWidth="1"/>
    <col min="6660" max="6660" width="14" style="604" bestFit="1" customWidth="1"/>
    <col min="6661" max="6661" width="14.44140625" style="604" bestFit="1" customWidth="1"/>
    <col min="6662" max="6664" width="14.33203125" style="604" bestFit="1" customWidth="1"/>
    <col min="6665" max="6665" width="9.109375" style="604"/>
    <col min="6666" max="6666" width="12.6640625" style="604" bestFit="1" customWidth="1"/>
    <col min="6667" max="6908" width="9.109375" style="604"/>
    <col min="6909" max="6909" width="4.44140625" style="604" bestFit="1" customWidth="1"/>
    <col min="6910" max="6910" width="23.88671875" style="604" bestFit="1" customWidth="1"/>
    <col min="6911" max="6911" width="14.33203125" style="604" bestFit="1" customWidth="1"/>
    <col min="6912" max="6912" width="11.44140625" style="604" bestFit="1" customWidth="1"/>
    <col min="6913" max="6913" width="14.44140625" style="604" bestFit="1" customWidth="1"/>
    <col min="6914" max="6915" width="14.33203125" style="604" bestFit="1" customWidth="1"/>
    <col min="6916" max="6916" width="14" style="604" bestFit="1" customWidth="1"/>
    <col min="6917" max="6917" width="14.44140625" style="604" bestFit="1" customWidth="1"/>
    <col min="6918" max="6920" width="14.33203125" style="604" bestFit="1" customWidth="1"/>
    <col min="6921" max="6921" width="9.109375" style="604"/>
    <col min="6922" max="6922" width="12.6640625" style="604" bestFit="1" customWidth="1"/>
    <col min="6923" max="7164" width="9.109375" style="604"/>
    <col min="7165" max="7165" width="4.44140625" style="604" bestFit="1" customWidth="1"/>
    <col min="7166" max="7166" width="23.88671875" style="604" bestFit="1" customWidth="1"/>
    <col min="7167" max="7167" width="14.33203125" style="604" bestFit="1" customWidth="1"/>
    <col min="7168" max="7168" width="11.44140625" style="604" bestFit="1" customWidth="1"/>
    <col min="7169" max="7169" width="14.44140625" style="604" bestFit="1" customWidth="1"/>
    <col min="7170" max="7171" width="14.33203125" style="604" bestFit="1" customWidth="1"/>
    <col min="7172" max="7172" width="14" style="604" bestFit="1" customWidth="1"/>
    <col min="7173" max="7173" width="14.44140625" style="604" bestFit="1" customWidth="1"/>
    <col min="7174" max="7176" width="14.33203125" style="604" bestFit="1" customWidth="1"/>
    <col min="7177" max="7177" width="9.109375" style="604"/>
    <col min="7178" max="7178" width="12.6640625" style="604" bestFit="1" customWidth="1"/>
    <col min="7179" max="7420" width="9.109375" style="604"/>
    <col min="7421" max="7421" width="4.44140625" style="604" bestFit="1" customWidth="1"/>
    <col min="7422" max="7422" width="23.88671875" style="604" bestFit="1" customWidth="1"/>
    <col min="7423" max="7423" width="14.33203125" style="604" bestFit="1" customWidth="1"/>
    <col min="7424" max="7424" width="11.44140625" style="604" bestFit="1" customWidth="1"/>
    <col min="7425" max="7425" width="14.44140625" style="604" bestFit="1" customWidth="1"/>
    <col min="7426" max="7427" width="14.33203125" style="604" bestFit="1" customWidth="1"/>
    <col min="7428" max="7428" width="14" style="604" bestFit="1" customWidth="1"/>
    <col min="7429" max="7429" width="14.44140625" style="604" bestFit="1" customWidth="1"/>
    <col min="7430" max="7432" width="14.33203125" style="604" bestFit="1" customWidth="1"/>
    <col min="7433" max="7433" width="9.109375" style="604"/>
    <col min="7434" max="7434" width="12.6640625" style="604" bestFit="1" customWidth="1"/>
    <col min="7435" max="7676" width="9.109375" style="604"/>
    <col min="7677" max="7677" width="4.44140625" style="604" bestFit="1" customWidth="1"/>
    <col min="7678" max="7678" width="23.88671875" style="604" bestFit="1" customWidth="1"/>
    <col min="7679" max="7679" width="14.33203125" style="604" bestFit="1" customWidth="1"/>
    <col min="7680" max="7680" width="11.44140625" style="604" bestFit="1" customWidth="1"/>
    <col min="7681" max="7681" width="14.44140625" style="604" bestFit="1" customWidth="1"/>
    <col min="7682" max="7683" width="14.33203125" style="604" bestFit="1" customWidth="1"/>
    <col min="7684" max="7684" width="14" style="604" bestFit="1" customWidth="1"/>
    <col min="7685" max="7685" width="14.44140625" style="604" bestFit="1" customWidth="1"/>
    <col min="7686" max="7688" width="14.33203125" style="604" bestFit="1" customWidth="1"/>
    <col min="7689" max="7689" width="9.109375" style="604"/>
    <col min="7690" max="7690" width="12.6640625" style="604" bestFit="1" customWidth="1"/>
    <col min="7691" max="7932" width="9.109375" style="604"/>
    <col min="7933" max="7933" width="4.44140625" style="604" bestFit="1" customWidth="1"/>
    <col min="7934" max="7934" width="23.88671875" style="604" bestFit="1" customWidth="1"/>
    <col min="7935" max="7935" width="14.33203125" style="604" bestFit="1" customWidth="1"/>
    <col min="7936" max="7936" width="11.44140625" style="604" bestFit="1" customWidth="1"/>
    <col min="7937" max="7937" width="14.44140625" style="604" bestFit="1" customWidth="1"/>
    <col min="7938" max="7939" width="14.33203125" style="604" bestFit="1" customWidth="1"/>
    <col min="7940" max="7940" width="14" style="604" bestFit="1" customWidth="1"/>
    <col min="7941" max="7941" width="14.44140625" style="604" bestFit="1" customWidth="1"/>
    <col min="7942" max="7944" width="14.33203125" style="604" bestFit="1" customWidth="1"/>
    <col min="7945" max="7945" width="9.109375" style="604"/>
    <col min="7946" max="7946" width="12.6640625" style="604" bestFit="1" customWidth="1"/>
    <col min="7947" max="8188" width="9.109375" style="604"/>
    <col min="8189" max="8189" width="4.44140625" style="604" bestFit="1" customWidth="1"/>
    <col min="8190" max="8190" width="23.88671875" style="604" bestFit="1" customWidth="1"/>
    <col min="8191" max="8191" width="14.33203125" style="604" bestFit="1" customWidth="1"/>
    <col min="8192" max="8192" width="11.44140625" style="604" bestFit="1" customWidth="1"/>
    <col min="8193" max="8193" width="14.44140625" style="604" bestFit="1" customWidth="1"/>
    <col min="8194" max="8195" width="14.33203125" style="604" bestFit="1" customWidth="1"/>
    <col min="8196" max="8196" width="14" style="604" bestFit="1" customWidth="1"/>
    <col min="8197" max="8197" width="14.44140625" style="604" bestFit="1" customWidth="1"/>
    <col min="8198" max="8200" width="14.33203125" style="604" bestFit="1" customWidth="1"/>
    <col min="8201" max="8201" width="9.109375" style="604"/>
    <col min="8202" max="8202" width="12.6640625" style="604" bestFit="1" customWidth="1"/>
    <col min="8203" max="8444" width="9.109375" style="604"/>
    <col min="8445" max="8445" width="4.44140625" style="604" bestFit="1" customWidth="1"/>
    <col min="8446" max="8446" width="23.88671875" style="604" bestFit="1" customWidth="1"/>
    <col min="8447" max="8447" width="14.33203125" style="604" bestFit="1" customWidth="1"/>
    <col min="8448" max="8448" width="11.44140625" style="604" bestFit="1" customWidth="1"/>
    <col min="8449" max="8449" width="14.44140625" style="604" bestFit="1" customWidth="1"/>
    <col min="8450" max="8451" width="14.33203125" style="604" bestFit="1" customWidth="1"/>
    <col min="8452" max="8452" width="14" style="604" bestFit="1" customWidth="1"/>
    <col min="8453" max="8453" width="14.44140625" style="604" bestFit="1" customWidth="1"/>
    <col min="8454" max="8456" width="14.33203125" style="604" bestFit="1" customWidth="1"/>
    <col min="8457" max="8457" width="9.109375" style="604"/>
    <col min="8458" max="8458" width="12.6640625" style="604" bestFit="1" customWidth="1"/>
    <col min="8459" max="8700" width="9.109375" style="604"/>
    <col min="8701" max="8701" width="4.44140625" style="604" bestFit="1" customWidth="1"/>
    <col min="8702" max="8702" width="23.88671875" style="604" bestFit="1" customWidth="1"/>
    <col min="8703" max="8703" width="14.33203125" style="604" bestFit="1" customWidth="1"/>
    <col min="8704" max="8704" width="11.44140625" style="604" bestFit="1" customWidth="1"/>
    <col min="8705" max="8705" width="14.44140625" style="604" bestFit="1" customWidth="1"/>
    <col min="8706" max="8707" width="14.33203125" style="604" bestFit="1" customWidth="1"/>
    <col min="8708" max="8708" width="14" style="604" bestFit="1" customWidth="1"/>
    <col min="8709" max="8709" width="14.44140625" style="604" bestFit="1" customWidth="1"/>
    <col min="8710" max="8712" width="14.33203125" style="604" bestFit="1" customWidth="1"/>
    <col min="8713" max="8713" width="9.109375" style="604"/>
    <col min="8714" max="8714" width="12.6640625" style="604" bestFit="1" customWidth="1"/>
    <col min="8715" max="8956" width="9.109375" style="604"/>
    <col min="8957" max="8957" width="4.44140625" style="604" bestFit="1" customWidth="1"/>
    <col min="8958" max="8958" width="23.88671875" style="604" bestFit="1" customWidth="1"/>
    <col min="8959" max="8959" width="14.33203125" style="604" bestFit="1" customWidth="1"/>
    <col min="8960" max="8960" width="11.44140625" style="604" bestFit="1" customWidth="1"/>
    <col min="8961" max="8961" width="14.44140625" style="604" bestFit="1" customWidth="1"/>
    <col min="8962" max="8963" width="14.33203125" style="604" bestFit="1" customWidth="1"/>
    <col min="8964" max="8964" width="14" style="604" bestFit="1" customWidth="1"/>
    <col min="8965" max="8965" width="14.44140625" style="604" bestFit="1" customWidth="1"/>
    <col min="8966" max="8968" width="14.33203125" style="604" bestFit="1" customWidth="1"/>
    <col min="8969" max="8969" width="9.109375" style="604"/>
    <col min="8970" max="8970" width="12.6640625" style="604" bestFit="1" customWidth="1"/>
    <col min="8971" max="9212" width="9.109375" style="604"/>
    <col min="9213" max="9213" width="4.44140625" style="604" bestFit="1" customWidth="1"/>
    <col min="9214" max="9214" width="23.88671875" style="604" bestFit="1" customWidth="1"/>
    <col min="9215" max="9215" width="14.33203125" style="604" bestFit="1" customWidth="1"/>
    <col min="9216" max="9216" width="11.44140625" style="604" bestFit="1" customWidth="1"/>
    <col min="9217" max="9217" width="14.44140625" style="604" bestFit="1" customWidth="1"/>
    <col min="9218" max="9219" width="14.33203125" style="604" bestFit="1" customWidth="1"/>
    <col min="9220" max="9220" width="14" style="604" bestFit="1" customWidth="1"/>
    <col min="9221" max="9221" width="14.44140625" style="604" bestFit="1" customWidth="1"/>
    <col min="9222" max="9224" width="14.33203125" style="604" bestFit="1" customWidth="1"/>
    <col min="9225" max="9225" width="9.109375" style="604"/>
    <col min="9226" max="9226" width="12.6640625" style="604" bestFit="1" customWidth="1"/>
    <col min="9227" max="9468" width="9.109375" style="604"/>
    <col min="9469" max="9469" width="4.44140625" style="604" bestFit="1" customWidth="1"/>
    <col min="9470" max="9470" width="23.88671875" style="604" bestFit="1" customWidth="1"/>
    <col min="9471" max="9471" width="14.33203125" style="604" bestFit="1" customWidth="1"/>
    <col min="9472" max="9472" width="11.44140625" style="604" bestFit="1" customWidth="1"/>
    <col min="9473" max="9473" width="14.44140625" style="604" bestFit="1" customWidth="1"/>
    <col min="9474" max="9475" width="14.33203125" style="604" bestFit="1" customWidth="1"/>
    <col min="9476" max="9476" width="14" style="604" bestFit="1" customWidth="1"/>
    <col min="9477" max="9477" width="14.44140625" style="604" bestFit="1" customWidth="1"/>
    <col min="9478" max="9480" width="14.33203125" style="604" bestFit="1" customWidth="1"/>
    <col min="9481" max="9481" width="9.109375" style="604"/>
    <col min="9482" max="9482" width="12.6640625" style="604" bestFit="1" customWidth="1"/>
    <col min="9483" max="9724" width="9.109375" style="604"/>
    <col min="9725" max="9725" width="4.44140625" style="604" bestFit="1" customWidth="1"/>
    <col min="9726" max="9726" width="23.88671875" style="604" bestFit="1" customWidth="1"/>
    <col min="9727" max="9727" width="14.33203125" style="604" bestFit="1" customWidth="1"/>
    <col min="9728" max="9728" width="11.44140625" style="604" bestFit="1" customWidth="1"/>
    <col min="9729" max="9729" width="14.44140625" style="604" bestFit="1" customWidth="1"/>
    <col min="9730" max="9731" width="14.33203125" style="604" bestFit="1" customWidth="1"/>
    <col min="9732" max="9732" width="14" style="604" bestFit="1" customWidth="1"/>
    <col min="9733" max="9733" width="14.44140625" style="604" bestFit="1" customWidth="1"/>
    <col min="9734" max="9736" width="14.33203125" style="604" bestFit="1" customWidth="1"/>
    <col min="9737" max="9737" width="9.109375" style="604"/>
    <col min="9738" max="9738" width="12.6640625" style="604" bestFit="1" customWidth="1"/>
    <col min="9739" max="9980" width="9.109375" style="604"/>
    <col min="9981" max="9981" width="4.44140625" style="604" bestFit="1" customWidth="1"/>
    <col min="9982" max="9982" width="23.88671875" style="604" bestFit="1" customWidth="1"/>
    <col min="9983" max="9983" width="14.33203125" style="604" bestFit="1" customWidth="1"/>
    <col min="9984" max="9984" width="11.44140625" style="604" bestFit="1" customWidth="1"/>
    <col min="9985" max="9985" width="14.44140625" style="604" bestFit="1" customWidth="1"/>
    <col min="9986" max="9987" width="14.33203125" style="604" bestFit="1" customWidth="1"/>
    <col min="9988" max="9988" width="14" style="604" bestFit="1" customWidth="1"/>
    <col min="9989" max="9989" width="14.44140625" style="604" bestFit="1" customWidth="1"/>
    <col min="9990" max="9992" width="14.33203125" style="604" bestFit="1" customWidth="1"/>
    <col min="9993" max="9993" width="9.109375" style="604"/>
    <col min="9994" max="9994" width="12.6640625" style="604" bestFit="1" customWidth="1"/>
    <col min="9995" max="10236" width="9.109375" style="604"/>
    <col min="10237" max="10237" width="4.44140625" style="604" bestFit="1" customWidth="1"/>
    <col min="10238" max="10238" width="23.88671875" style="604" bestFit="1" customWidth="1"/>
    <col min="10239" max="10239" width="14.33203125" style="604" bestFit="1" customWidth="1"/>
    <col min="10240" max="10240" width="11.44140625" style="604" bestFit="1" customWidth="1"/>
    <col min="10241" max="10241" width="14.44140625" style="604" bestFit="1" customWidth="1"/>
    <col min="10242" max="10243" width="14.33203125" style="604" bestFit="1" customWidth="1"/>
    <col min="10244" max="10244" width="14" style="604" bestFit="1" customWidth="1"/>
    <col min="10245" max="10245" width="14.44140625" style="604" bestFit="1" customWidth="1"/>
    <col min="10246" max="10248" width="14.33203125" style="604" bestFit="1" customWidth="1"/>
    <col min="10249" max="10249" width="9.109375" style="604"/>
    <col min="10250" max="10250" width="12.6640625" style="604" bestFit="1" customWidth="1"/>
    <col min="10251" max="10492" width="9.109375" style="604"/>
    <col min="10493" max="10493" width="4.44140625" style="604" bestFit="1" customWidth="1"/>
    <col min="10494" max="10494" width="23.88671875" style="604" bestFit="1" customWidth="1"/>
    <col min="10495" max="10495" width="14.33203125" style="604" bestFit="1" customWidth="1"/>
    <col min="10496" max="10496" width="11.44140625" style="604" bestFit="1" customWidth="1"/>
    <col min="10497" max="10497" width="14.44140625" style="604" bestFit="1" customWidth="1"/>
    <col min="10498" max="10499" width="14.33203125" style="604" bestFit="1" customWidth="1"/>
    <col min="10500" max="10500" width="14" style="604" bestFit="1" customWidth="1"/>
    <col min="10501" max="10501" width="14.44140625" style="604" bestFit="1" customWidth="1"/>
    <col min="10502" max="10504" width="14.33203125" style="604" bestFit="1" customWidth="1"/>
    <col min="10505" max="10505" width="9.109375" style="604"/>
    <col min="10506" max="10506" width="12.6640625" style="604" bestFit="1" customWidth="1"/>
    <col min="10507" max="10748" width="9.109375" style="604"/>
    <col min="10749" max="10749" width="4.44140625" style="604" bestFit="1" customWidth="1"/>
    <col min="10750" max="10750" width="23.88671875" style="604" bestFit="1" customWidth="1"/>
    <col min="10751" max="10751" width="14.33203125" style="604" bestFit="1" customWidth="1"/>
    <col min="10752" max="10752" width="11.44140625" style="604" bestFit="1" customWidth="1"/>
    <col min="10753" max="10753" width="14.44140625" style="604" bestFit="1" customWidth="1"/>
    <col min="10754" max="10755" width="14.33203125" style="604" bestFit="1" customWidth="1"/>
    <col min="10756" max="10756" width="14" style="604" bestFit="1" customWidth="1"/>
    <col min="10757" max="10757" width="14.44140625" style="604" bestFit="1" customWidth="1"/>
    <col min="10758" max="10760" width="14.33203125" style="604" bestFit="1" customWidth="1"/>
    <col min="10761" max="10761" width="9.109375" style="604"/>
    <col min="10762" max="10762" width="12.6640625" style="604" bestFit="1" customWidth="1"/>
    <col min="10763" max="11004" width="9.109375" style="604"/>
    <col min="11005" max="11005" width="4.44140625" style="604" bestFit="1" customWidth="1"/>
    <col min="11006" max="11006" width="23.88671875" style="604" bestFit="1" customWidth="1"/>
    <col min="11007" max="11007" width="14.33203125" style="604" bestFit="1" customWidth="1"/>
    <col min="11008" max="11008" width="11.44140625" style="604" bestFit="1" customWidth="1"/>
    <col min="11009" max="11009" width="14.44140625" style="604" bestFit="1" customWidth="1"/>
    <col min="11010" max="11011" width="14.33203125" style="604" bestFit="1" customWidth="1"/>
    <col min="11012" max="11012" width="14" style="604" bestFit="1" customWidth="1"/>
    <col min="11013" max="11013" width="14.44140625" style="604" bestFit="1" customWidth="1"/>
    <col min="11014" max="11016" width="14.33203125" style="604" bestFit="1" customWidth="1"/>
    <col min="11017" max="11017" width="9.109375" style="604"/>
    <col min="11018" max="11018" width="12.6640625" style="604" bestFit="1" customWidth="1"/>
    <col min="11019" max="11260" width="9.109375" style="604"/>
    <col min="11261" max="11261" width="4.44140625" style="604" bestFit="1" customWidth="1"/>
    <col min="11262" max="11262" width="23.88671875" style="604" bestFit="1" customWidth="1"/>
    <col min="11263" max="11263" width="14.33203125" style="604" bestFit="1" customWidth="1"/>
    <col min="11264" max="11264" width="11.44140625" style="604" bestFit="1" customWidth="1"/>
    <col min="11265" max="11265" width="14.44140625" style="604" bestFit="1" customWidth="1"/>
    <col min="11266" max="11267" width="14.33203125" style="604" bestFit="1" customWidth="1"/>
    <col min="11268" max="11268" width="14" style="604" bestFit="1" customWidth="1"/>
    <col min="11269" max="11269" width="14.44140625" style="604" bestFit="1" customWidth="1"/>
    <col min="11270" max="11272" width="14.33203125" style="604" bestFit="1" customWidth="1"/>
    <col min="11273" max="11273" width="9.109375" style="604"/>
    <col min="11274" max="11274" width="12.6640625" style="604" bestFit="1" customWidth="1"/>
    <col min="11275" max="11516" width="9.109375" style="604"/>
    <col min="11517" max="11517" width="4.44140625" style="604" bestFit="1" customWidth="1"/>
    <col min="11518" max="11518" width="23.88671875" style="604" bestFit="1" customWidth="1"/>
    <col min="11519" max="11519" width="14.33203125" style="604" bestFit="1" customWidth="1"/>
    <col min="11520" max="11520" width="11.44140625" style="604" bestFit="1" customWidth="1"/>
    <col min="11521" max="11521" width="14.44140625" style="604" bestFit="1" customWidth="1"/>
    <col min="11522" max="11523" width="14.33203125" style="604" bestFit="1" customWidth="1"/>
    <col min="11524" max="11524" width="14" style="604" bestFit="1" customWidth="1"/>
    <col min="11525" max="11525" width="14.44140625" style="604" bestFit="1" customWidth="1"/>
    <col min="11526" max="11528" width="14.33203125" style="604" bestFit="1" customWidth="1"/>
    <col min="11529" max="11529" width="9.109375" style="604"/>
    <col min="11530" max="11530" width="12.6640625" style="604" bestFit="1" customWidth="1"/>
    <col min="11531" max="11772" width="9.109375" style="604"/>
    <col min="11773" max="11773" width="4.44140625" style="604" bestFit="1" customWidth="1"/>
    <col min="11774" max="11774" width="23.88671875" style="604" bestFit="1" customWidth="1"/>
    <col min="11775" max="11775" width="14.33203125" style="604" bestFit="1" customWidth="1"/>
    <col min="11776" max="11776" width="11.44140625" style="604" bestFit="1" customWidth="1"/>
    <col min="11777" max="11777" width="14.44140625" style="604" bestFit="1" customWidth="1"/>
    <col min="11778" max="11779" width="14.33203125" style="604" bestFit="1" customWidth="1"/>
    <col min="11780" max="11780" width="14" style="604" bestFit="1" customWidth="1"/>
    <col min="11781" max="11781" width="14.44140625" style="604" bestFit="1" customWidth="1"/>
    <col min="11782" max="11784" width="14.33203125" style="604" bestFit="1" customWidth="1"/>
    <col min="11785" max="11785" width="9.109375" style="604"/>
    <col min="11786" max="11786" width="12.6640625" style="604" bestFit="1" customWidth="1"/>
    <col min="11787" max="12028" width="9.109375" style="604"/>
    <col min="12029" max="12029" width="4.44140625" style="604" bestFit="1" customWidth="1"/>
    <col min="12030" max="12030" width="23.88671875" style="604" bestFit="1" customWidth="1"/>
    <col min="12031" max="12031" width="14.33203125" style="604" bestFit="1" customWidth="1"/>
    <col min="12032" max="12032" width="11.44140625" style="604" bestFit="1" customWidth="1"/>
    <col min="12033" max="12033" width="14.44140625" style="604" bestFit="1" customWidth="1"/>
    <col min="12034" max="12035" width="14.33203125" style="604" bestFit="1" customWidth="1"/>
    <col min="12036" max="12036" width="14" style="604" bestFit="1" customWidth="1"/>
    <col min="12037" max="12037" width="14.44140625" style="604" bestFit="1" customWidth="1"/>
    <col min="12038" max="12040" width="14.33203125" style="604" bestFit="1" customWidth="1"/>
    <col min="12041" max="12041" width="9.109375" style="604"/>
    <col min="12042" max="12042" width="12.6640625" style="604" bestFit="1" customWidth="1"/>
    <col min="12043" max="12284" width="9.109375" style="604"/>
    <col min="12285" max="12285" width="4.44140625" style="604" bestFit="1" customWidth="1"/>
    <col min="12286" max="12286" width="23.88671875" style="604" bestFit="1" customWidth="1"/>
    <col min="12287" max="12287" width="14.33203125" style="604" bestFit="1" customWidth="1"/>
    <col min="12288" max="12288" width="11.44140625" style="604" bestFit="1" customWidth="1"/>
    <col min="12289" max="12289" width="14.44140625" style="604" bestFit="1" customWidth="1"/>
    <col min="12290" max="12291" width="14.33203125" style="604" bestFit="1" customWidth="1"/>
    <col min="12292" max="12292" width="14" style="604" bestFit="1" customWidth="1"/>
    <col min="12293" max="12293" width="14.44140625" style="604" bestFit="1" customWidth="1"/>
    <col min="12294" max="12296" width="14.33203125" style="604" bestFit="1" customWidth="1"/>
    <col min="12297" max="12297" width="9.109375" style="604"/>
    <col min="12298" max="12298" width="12.6640625" style="604" bestFit="1" customWidth="1"/>
    <col min="12299" max="12540" width="9.109375" style="604"/>
    <col min="12541" max="12541" width="4.44140625" style="604" bestFit="1" customWidth="1"/>
    <col min="12542" max="12542" width="23.88671875" style="604" bestFit="1" customWidth="1"/>
    <col min="12543" max="12543" width="14.33203125" style="604" bestFit="1" customWidth="1"/>
    <col min="12544" max="12544" width="11.44140625" style="604" bestFit="1" customWidth="1"/>
    <col min="12545" max="12545" width="14.44140625" style="604" bestFit="1" customWidth="1"/>
    <col min="12546" max="12547" width="14.33203125" style="604" bestFit="1" customWidth="1"/>
    <col min="12548" max="12548" width="14" style="604" bestFit="1" customWidth="1"/>
    <col min="12549" max="12549" width="14.44140625" style="604" bestFit="1" customWidth="1"/>
    <col min="12550" max="12552" width="14.33203125" style="604" bestFit="1" customWidth="1"/>
    <col min="12553" max="12553" width="9.109375" style="604"/>
    <col min="12554" max="12554" width="12.6640625" style="604" bestFit="1" customWidth="1"/>
    <col min="12555" max="12796" width="9.109375" style="604"/>
    <col min="12797" max="12797" width="4.44140625" style="604" bestFit="1" customWidth="1"/>
    <col min="12798" max="12798" width="23.88671875" style="604" bestFit="1" customWidth="1"/>
    <col min="12799" max="12799" width="14.33203125" style="604" bestFit="1" customWidth="1"/>
    <col min="12800" max="12800" width="11.44140625" style="604" bestFit="1" customWidth="1"/>
    <col min="12801" max="12801" width="14.44140625" style="604" bestFit="1" customWidth="1"/>
    <col min="12802" max="12803" width="14.33203125" style="604" bestFit="1" customWidth="1"/>
    <col min="12804" max="12804" width="14" style="604" bestFit="1" customWidth="1"/>
    <col min="12805" max="12805" width="14.44140625" style="604" bestFit="1" customWidth="1"/>
    <col min="12806" max="12808" width="14.33203125" style="604" bestFit="1" customWidth="1"/>
    <col min="12809" max="12809" width="9.109375" style="604"/>
    <col min="12810" max="12810" width="12.6640625" style="604" bestFit="1" customWidth="1"/>
    <col min="12811" max="13052" width="9.109375" style="604"/>
    <col min="13053" max="13053" width="4.44140625" style="604" bestFit="1" customWidth="1"/>
    <col min="13054" max="13054" width="23.88671875" style="604" bestFit="1" customWidth="1"/>
    <col min="13055" max="13055" width="14.33203125" style="604" bestFit="1" customWidth="1"/>
    <col min="13056" max="13056" width="11.44140625" style="604" bestFit="1" customWidth="1"/>
    <col min="13057" max="13057" width="14.44140625" style="604" bestFit="1" customWidth="1"/>
    <col min="13058" max="13059" width="14.33203125" style="604" bestFit="1" customWidth="1"/>
    <col min="13060" max="13060" width="14" style="604" bestFit="1" customWidth="1"/>
    <col min="13061" max="13061" width="14.44140625" style="604" bestFit="1" customWidth="1"/>
    <col min="13062" max="13064" width="14.33203125" style="604" bestFit="1" customWidth="1"/>
    <col min="13065" max="13065" width="9.109375" style="604"/>
    <col min="13066" max="13066" width="12.6640625" style="604" bestFit="1" customWidth="1"/>
    <col min="13067" max="13308" width="9.109375" style="604"/>
    <col min="13309" max="13309" width="4.44140625" style="604" bestFit="1" customWidth="1"/>
    <col min="13310" max="13310" width="23.88671875" style="604" bestFit="1" customWidth="1"/>
    <col min="13311" max="13311" width="14.33203125" style="604" bestFit="1" customWidth="1"/>
    <col min="13312" max="13312" width="11.44140625" style="604" bestFit="1" customWidth="1"/>
    <col min="13313" max="13313" width="14.44140625" style="604" bestFit="1" customWidth="1"/>
    <col min="13314" max="13315" width="14.33203125" style="604" bestFit="1" customWidth="1"/>
    <col min="13316" max="13316" width="14" style="604" bestFit="1" customWidth="1"/>
    <col min="13317" max="13317" width="14.44140625" style="604" bestFit="1" customWidth="1"/>
    <col min="13318" max="13320" width="14.33203125" style="604" bestFit="1" customWidth="1"/>
    <col min="13321" max="13321" width="9.109375" style="604"/>
    <col min="13322" max="13322" width="12.6640625" style="604" bestFit="1" customWidth="1"/>
    <col min="13323" max="13564" width="9.109375" style="604"/>
    <col min="13565" max="13565" width="4.44140625" style="604" bestFit="1" customWidth="1"/>
    <col min="13566" max="13566" width="23.88671875" style="604" bestFit="1" customWidth="1"/>
    <col min="13567" max="13567" width="14.33203125" style="604" bestFit="1" customWidth="1"/>
    <col min="13568" max="13568" width="11.44140625" style="604" bestFit="1" customWidth="1"/>
    <col min="13569" max="13569" width="14.44140625" style="604" bestFit="1" customWidth="1"/>
    <col min="13570" max="13571" width="14.33203125" style="604" bestFit="1" customWidth="1"/>
    <col min="13572" max="13572" width="14" style="604" bestFit="1" customWidth="1"/>
    <col min="13573" max="13573" width="14.44140625" style="604" bestFit="1" customWidth="1"/>
    <col min="13574" max="13576" width="14.33203125" style="604" bestFit="1" customWidth="1"/>
    <col min="13577" max="13577" width="9.109375" style="604"/>
    <col min="13578" max="13578" width="12.6640625" style="604" bestFit="1" customWidth="1"/>
    <col min="13579" max="13820" width="9.109375" style="604"/>
    <col min="13821" max="13821" width="4.44140625" style="604" bestFit="1" customWidth="1"/>
    <col min="13822" max="13822" width="23.88671875" style="604" bestFit="1" customWidth="1"/>
    <col min="13823" max="13823" width="14.33203125" style="604" bestFit="1" customWidth="1"/>
    <col min="13824" max="13824" width="11.44140625" style="604" bestFit="1" customWidth="1"/>
    <col min="13825" max="13825" width="14.44140625" style="604" bestFit="1" customWidth="1"/>
    <col min="13826" max="13827" width="14.33203125" style="604" bestFit="1" customWidth="1"/>
    <col min="13828" max="13828" width="14" style="604" bestFit="1" customWidth="1"/>
    <col min="13829" max="13829" width="14.44140625" style="604" bestFit="1" customWidth="1"/>
    <col min="13830" max="13832" width="14.33203125" style="604" bestFit="1" customWidth="1"/>
    <col min="13833" max="13833" width="9.109375" style="604"/>
    <col min="13834" max="13834" width="12.6640625" style="604" bestFit="1" customWidth="1"/>
    <col min="13835" max="14076" width="9.109375" style="604"/>
    <col min="14077" max="14077" width="4.44140625" style="604" bestFit="1" customWidth="1"/>
    <col min="14078" max="14078" width="23.88671875" style="604" bestFit="1" customWidth="1"/>
    <col min="14079" max="14079" width="14.33203125" style="604" bestFit="1" customWidth="1"/>
    <col min="14080" max="14080" width="11.44140625" style="604" bestFit="1" customWidth="1"/>
    <col min="14081" max="14081" width="14.44140625" style="604" bestFit="1" customWidth="1"/>
    <col min="14082" max="14083" width="14.33203125" style="604" bestFit="1" customWidth="1"/>
    <col min="14084" max="14084" width="14" style="604" bestFit="1" customWidth="1"/>
    <col min="14085" max="14085" width="14.44140625" style="604" bestFit="1" customWidth="1"/>
    <col min="14086" max="14088" width="14.33203125" style="604" bestFit="1" customWidth="1"/>
    <col min="14089" max="14089" width="9.109375" style="604"/>
    <col min="14090" max="14090" width="12.6640625" style="604" bestFit="1" customWidth="1"/>
    <col min="14091" max="14332" width="9.109375" style="604"/>
    <col min="14333" max="14333" width="4.44140625" style="604" bestFit="1" customWidth="1"/>
    <col min="14334" max="14334" width="23.88671875" style="604" bestFit="1" customWidth="1"/>
    <col min="14335" max="14335" width="14.33203125" style="604" bestFit="1" customWidth="1"/>
    <col min="14336" max="14336" width="11.44140625" style="604" bestFit="1" customWidth="1"/>
    <col min="14337" max="14337" width="14.44140625" style="604" bestFit="1" customWidth="1"/>
    <col min="14338" max="14339" width="14.33203125" style="604" bestFit="1" customWidth="1"/>
    <col min="14340" max="14340" width="14" style="604" bestFit="1" customWidth="1"/>
    <col min="14341" max="14341" width="14.44140625" style="604" bestFit="1" customWidth="1"/>
    <col min="14342" max="14344" width="14.33203125" style="604" bestFit="1" customWidth="1"/>
    <col min="14345" max="14345" width="9.109375" style="604"/>
    <col min="14346" max="14346" width="12.6640625" style="604" bestFit="1" customWidth="1"/>
    <col min="14347" max="14588" width="9.109375" style="604"/>
    <col min="14589" max="14589" width="4.44140625" style="604" bestFit="1" customWidth="1"/>
    <col min="14590" max="14590" width="23.88671875" style="604" bestFit="1" customWidth="1"/>
    <col min="14591" max="14591" width="14.33203125" style="604" bestFit="1" customWidth="1"/>
    <col min="14592" max="14592" width="11.44140625" style="604" bestFit="1" customWidth="1"/>
    <col min="14593" max="14593" width="14.44140625" style="604" bestFit="1" customWidth="1"/>
    <col min="14594" max="14595" width="14.33203125" style="604" bestFit="1" customWidth="1"/>
    <col min="14596" max="14596" width="14" style="604" bestFit="1" customWidth="1"/>
    <col min="14597" max="14597" width="14.44140625" style="604" bestFit="1" customWidth="1"/>
    <col min="14598" max="14600" width="14.33203125" style="604" bestFit="1" customWidth="1"/>
    <col min="14601" max="14601" width="9.109375" style="604"/>
    <col min="14602" max="14602" width="12.6640625" style="604" bestFit="1" customWidth="1"/>
    <col min="14603" max="14844" width="9.109375" style="604"/>
    <col min="14845" max="14845" width="4.44140625" style="604" bestFit="1" customWidth="1"/>
    <col min="14846" max="14846" width="23.88671875" style="604" bestFit="1" customWidth="1"/>
    <col min="14847" max="14847" width="14.33203125" style="604" bestFit="1" customWidth="1"/>
    <col min="14848" max="14848" width="11.44140625" style="604" bestFit="1" customWidth="1"/>
    <col min="14849" max="14849" width="14.44140625" style="604" bestFit="1" customWidth="1"/>
    <col min="14850" max="14851" width="14.33203125" style="604" bestFit="1" customWidth="1"/>
    <col min="14852" max="14852" width="14" style="604" bestFit="1" customWidth="1"/>
    <col min="14853" max="14853" width="14.44140625" style="604" bestFit="1" customWidth="1"/>
    <col min="14854" max="14856" width="14.33203125" style="604" bestFit="1" customWidth="1"/>
    <col min="14857" max="14857" width="9.109375" style="604"/>
    <col min="14858" max="14858" width="12.6640625" style="604" bestFit="1" customWidth="1"/>
    <col min="14859" max="15100" width="9.109375" style="604"/>
    <col min="15101" max="15101" width="4.44140625" style="604" bestFit="1" customWidth="1"/>
    <col min="15102" max="15102" width="23.88671875" style="604" bestFit="1" customWidth="1"/>
    <col min="15103" max="15103" width="14.33203125" style="604" bestFit="1" customWidth="1"/>
    <col min="15104" max="15104" width="11.44140625" style="604" bestFit="1" customWidth="1"/>
    <col min="15105" max="15105" width="14.44140625" style="604" bestFit="1" customWidth="1"/>
    <col min="15106" max="15107" width="14.33203125" style="604" bestFit="1" customWidth="1"/>
    <col min="15108" max="15108" width="14" style="604" bestFit="1" customWidth="1"/>
    <col min="15109" max="15109" width="14.44140625" style="604" bestFit="1" customWidth="1"/>
    <col min="15110" max="15112" width="14.33203125" style="604" bestFit="1" customWidth="1"/>
    <col min="15113" max="15113" width="9.109375" style="604"/>
    <col min="15114" max="15114" width="12.6640625" style="604" bestFit="1" customWidth="1"/>
    <col min="15115" max="15356" width="9.109375" style="604"/>
    <col min="15357" max="15357" width="4.44140625" style="604" bestFit="1" customWidth="1"/>
    <col min="15358" max="15358" width="23.88671875" style="604" bestFit="1" customWidth="1"/>
    <col min="15359" max="15359" width="14.33203125" style="604" bestFit="1" customWidth="1"/>
    <col min="15360" max="15360" width="11.44140625" style="604" bestFit="1" customWidth="1"/>
    <col min="15361" max="15361" width="14.44140625" style="604" bestFit="1" customWidth="1"/>
    <col min="15362" max="15363" width="14.33203125" style="604" bestFit="1" customWidth="1"/>
    <col min="15364" max="15364" width="14" style="604" bestFit="1" customWidth="1"/>
    <col min="15365" max="15365" width="14.44140625" style="604" bestFit="1" customWidth="1"/>
    <col min="15366" max="15368" width="14.33203125" style="604" bestFit="1" customWidth="1"/>
    <col min="15369" max="15369" width="9.109375" style="604"/>
    <col min="15370" max="15370" width="12.6640625" style="604" bestFit="1" customWidth="1"/>
    <col min="15371" max="15612" width="9.109375" style="604"/>
    <col min="15613" max="15613" width="4.44140625" style="604" bestFit="1" customWidth="1"/>
    <col min="15614" max="15614" width="23.88671875" style="604" bestFit="1" customWidth="1"/>
    <col min="15615" max="15615" width="14.33203125" style="604" bestFit="1" customWidth="1"/>
    <col min="15616" max="15616" width="11.44140625" style="604" bestFit="1" customWidth="1"/>
    <col min="15617" max="15617" width="14.44140625" style="604" bestFit="1" customWidth="1"/>
    <col min="15618" max="15619" width="14.33203125" style="604" bestFit="1" customWidth="1"/>
    <col min="15620" max="15620" width="14" style="604" bestFit="1" customWidth="1"/>
    <col min="15621" max="15621" width="14.44140625" style="604" bestFit="1" customWidth="1"/>
    <col min="15622" max="15624" width="14.33203125" style="604" bestFit="1" customWidth="1"/>
    <col min="15625" max="15625" width="9.109375" style="604"/>
    <col min="15626" max="15626" width="12.6640625" style="604" bestFit="1" customWidth="1"/>
    <col min="15627" max="15868" width="9.109375" style="604"/>
    <col min="15869" max="15869" width="4.44140625" style="604" bestFit="1" customWidth="1"/>
    <col min="15870" max="15870" width="23.88671875" style="604" bestFit="1" customWidth="1"/>
    <col min="15871" max="15871" width="14.33203125" style="604" bestFit="1" customWidth="1"/>
    <col min="15872" max="15872" width="11.44140625" style="604" bestFit="1" customWidth="1"/>
    <col min="15873" max="15873" width="14.44140625" style="604" bestFit="1" customWidth="1"/>
    <col min="15874" max="15875" width="14.33203125" style="604" bestFit="1" customWidth="1"/>
    <col min="15876" max="15876" width="14" style="604" bestFit="1" customWidth="1"/>
    <col min="15877" max="15877" width="14.44140625" style="604" bestFit="1" customWidth="1"/>
    <col min="15878" max="15880" width="14.33203125" style="604" bestFit="1" customWidth="1"/>
    <col min="15881" max="15881" width="9.109375" style="604"/>
    <col min="15882" max="15882" width="12.6640625" style="604" bestFit="1" customWidth="1"/>
    <col min="15883" max="16124" width="9.109375" style="604"/>
    <col min="16125" max="16125" width="4.44140625" style="604" bestFit="1" customWidth="1"/>
    <col min="16126" max="16126" width="23.88671875" style="604" bestFit="1" customWidth="1"/>
    <col min="16127" max="16127" width="14.33203125" style="604" bestFit="1" customWidth="1"/>
    <col min="16128" max="16128" width="11.44140625" style="604" bestFit="1" customWidth="1"/>
    <col min="16129" max="16129" width="14.44140625" style="604" bestFit="1" customWidth="1"/>
    <col min="16130" max="16131" width="14.33203125" style="604" bestFit="1" customWidth="1"/>
    <col min="16132" max="16132" width="14" style="604" bestFit="1" customWidth="1"/>
    <col min="16133" max="16133" width="14.44140625" style="604" bestFit="1" customWidth="1"/>
    <col min="16134" max="16136" width="14.33203125" style="604" bestFit="1" customWidth="1"/>
    <col min="16137" max="16137" width="9.109375" style="604"/>
    <col min="16138" max="16138" width="12.6640625" style="604" bestFit="1" customWidth="1"/>
    <col min="16139" max="16384" width="9.109375" style="604"/>
  </cols>
  <sheetData>
    <row r="2" spans="2:10" x14ac:dyDescent="0.3">
      <c r="B2" s="604" t="str">
        <f>DTLDFA!A2</f>
        <v>Arunjyoti Bio Ventures Limited</v>
      </c>
    </row>
    <row r="3" spans="2:10" x14ac:dyDescent="0.3">
      <c r="B3" s="604" t="s">
        <v>1425</v>
      </c>
      <c r="H3" s="1122" t="s">
        <v>1426</v>
      </c>
    </row>
    <row r="4" spans="2:10" x14ac:dyDescent="0.3">
      <c r="B4" s="1158"/>
      <c r="C4" s="1159" t="s">
        <v>1427</v>
      </c>
      <c r="D4" s="1160" t="s">
        <v>312</v>
      </c>
      <c r="E4" s="1159" t="s">
        <v>313</v>
      </c>
      <c r="F4" s="1161" t="s">
        <v>213</v>
      </c>
      <c r="G4" s="1159" t="s">
        <v>314</v>
      </c>
      <c r="H4" s="1162" t="s">
        <v>1427</v>
      </c>
    </row>
    <row r="5" spans="2:10" x14ac:dyDescent="0.3">
      <c r="B5" s="1163"/>
      <c r="C5" s="1164">
        <v>43556</v>
      </c>
      <c r="D5" s="1165"/>
      <c r="E5" s="1166" t="s">
        <v>316</v>
      </c>
      <c r="F5" s="1167">
        <v>43921</v>
      </c>
      <c r="G5" s="1168" t="s">
        <v>317</v>
      </c>
      <c r="H5" s="1169">
        <v>43921</v>
      </c>
    </row>
    <row r="6" spans="2:10" x14ac:dyDescent="0.3">
      <c r="B6" s="605" t="s">
        <v>318</v>
      </c>
      <c r="C6" s="346">
        <v>0</v>
      </c>
      <c r="D6" s="608">
        <v>0</v>
      </c>
      <c r="E6" s="609">
        <v>0</v>
      </c>
      <c r="F6" s="306">
        <f>C6+D6-E6</f>
        <v>0</v>
      </c>
      <c r="G6" s="609">
        <v>0</v>
      </c>
      <c r="H6" s="545">
        <f>F6-G6</f>
        <v>0</v>
      </c>
      <c r="J6" s="306" t="s">
        <v>211</v>
      </c>
    </row>
    <row r="7" spans="2:10" x14ac:dyDescent="0.3">
      <c r="B7" s="605" t="s">
        <v>319</v>
      </c>
      <c r="C7" s="346">
        <v>0</v>
      </c>
      <c r="D7" s="608">
        <v>0</v>
      </c>
      <c r="E7" s="609">
        <f>C7</f>
        <v>0</v>
      </c>
      <c r="F7" s="306">
        <f t="shared" ref="F7:F14" si="0">C7+D7-E7</f>
        <v>0</v>
      </c>
      <c r="G7" s="609">
        <v>0</v>
      </c>
      <c r="H7" s="545">
        <f t="shared" ref="H7:H14" si="1">F7-G7</f>
        <v>0</v>
      </c>
      <c r="J7" s="306" t="s">
        <v>211</v>
      </c>
    </row>
    <row r="8" spans="2:10" x14ac:dyDescent="0.3">
      <c r="B8" s="605" t="s">
        <v>320</v>
      </c>
      <c r="C8" s="346">
        <v>0</v>
      </c>
      <c r="D8" s="608">
        <v>0</v>
      </c>
      <c r="E8" s="609">
        <v>0</v>
      </c>
      <c r="F8" s="306">
        <f t="shared" si="0"/>
        <v>0</v>
      </c>
      <c r="G8" s="1170">
        <f>F8*I8</f>
        <v>0</v>
      </c>
      <c r="H8" s="545">
        <f t="shared" si="1"/>
        <v>0</v>
      </c>
      <c r="I8" s="1171">
        <v>0.15</v>
      </c>
      <c r="J8" s="306" t="s">
        <v>211</v>
      </c>
    </row>
    <row r="9" spans="2:10" x14ac:dyDescent="0.3">
      <c r="B9" s="605" t="s">
        <v>321</v>
      </c>
      <c r="C9" s="346">
        <v>0</v>
      </c>
      <c r="D9" s="608">
        <v>0</v>
      </c>
      <c r="E9" s="610">
        <f>C9</f>
        <v>0</v>
      </c>
      <c r="F9" s="306">
        <f t="shared" si="0"/>
        <v>0</v>
      </c>
      <c r="G9" s="1170">
        <f t="shared" ref="G9:G14" si="2">F9*I9</f>
        <v>0</v>
      </c>
      <c r="H9" s="545">
        <f t="shared" si="1"/>
        <v>0</v>
      </c>
      <c r="I9" s="1171">
        <v>0.15</v>
      </c>
      <c r="J9" s="306" t="s">
        <v>211</v>
      </c>
    </row>
    <row r="10" spans="2:10" x14ac:dyDescent="0.3">
      <c r="B10" s="605" t="s">
        <v>322</v>
      </c>
      <c r="C10" s="346">
        <v>0</v>
      </c>
      <c r="D10" s="608"/>
      <c r="E10" s="609">
        <v>0</v>
      </c>
      <c r="F10" s="306">
        <f t="shared" si="0"/>
        <v>0</v>
      </c>
      <c r="G10" s="1170">
        <f t="shared" si="2"/>
        <v>0</v>
      </c>
      <c r="H10" s="545">
        <f t="shared" si="1"/>
        <v>0</v>
      </c>
      <c r="I10" s="1171">
        <v>0.15</v>
      </c>
      <c r="J10" s="306" t="s">
        <v>211</v>
      </c>
    </row>
    <row r="11" spans="2:10" x14ac:dyDescent="0.3">
      <c r="B11" s="605" t="s">
        <v>323</v>
      </c>
      <c r="C11" s="346">
        <v>0</v>
      </c>
      <c r="D11" s="608">
        <v>0</v>
      </c>
      <c r="E11" s="609">
        <v>0</v>
      </c>
      <c r="F11" s="306">
        <f t="shared" si="0"/>
        <v>0</v>
      </c>
      <c r="G11" s="1170">
        <f t="shared" si="2"/>
        <v>0</v>
      </c>
      <c r="H11" s="545">
        <f t="shared" si="1"/>
        <v>0</v>
      </c>
      <c r="I11" s="1171">
        <v>0.15</v>
      </c>
      <c r="J11" s="306" t="s">
        <v>211</v>
      </c>
    </row>
    <row r="12" spans="2:10" x14ac:dyDescent="0.3">
      <c r="B12" s="605" t="s">
        <v>324</v>
      </c>
      <c r="C12" s="346">
        <v>0</v>
      </c>
      <c r="D12" s="608">
        <v>0</v>
      </c>
      <c r="E12" s="609">
        <v>0</v>
      </c>
      <c r="F12" s="306">
        <f t="shared" si="0"/>
        <v>0</v>
      </c>
      <c r="G12" s="1170">
        <f t="shared" si="2"/>
        <v>0</v>
      </c>
      <c r="H12" s="545">
        <f t="shared" si="1"/>
        <v>0</v>
      </c>
      <c r="I12" s="1171">
        <v>0.15</v>
      </c>
      <c r="J12" s="306" t="s">
        <v>211</v>
      </c>
    </row>
    <row r="13" spans="2:10" x14ac:dyDescent="0.3">
      <c r="B13" s="605" t="s">
        <v>325</v>
      </c>
      <c r="C13" s="346">
        <v>0</v>
      </c>
      <c r="D13" s="608">
        <v>0</v>
      </c>
      <c r="E13" s="609">
        <v>0</v>
      </c>
      <c r="F13" s="306">
        <f t="shared" si="0"/>
        <v>0</v>
      </c>
      <c r="G13" s="1170">
        <f t="shared" si="2"/>
        <v>0</v>
      </c>
      <c r="H13" s="545">
        <f t="shared" si="1"/>
        <v>0</v>
      </c>
      <c r="I13" s="1171">
        <v>0.1</v>
      </c>
      <c r="J13" s="306" t="s">
        <v>211</v>
      </c>
    </row>
    <row r="14" spans="2:10" x14ac:dyDescent="0.3">
      <c r="B14" s="605" t="s">
        <v>326</v>
      </c>
      <c r="C14" s="346">
        <v>0</v>
      </c>
      <c r="D14" s="608">
        <v>0</v>
      </c>
      <c r="E14" s="609">
        <v>0</v>
      </c>
      <c r="F14" s="306">
        <f t="shared" si="0"/>
        <v>0</v>
      </c>
      <c r="G14" s="1170">
        <f t="shared" si="2"/>
        <v>0</v>
      </c>
      <c r="H14" s="545">
        <f t="shared" si="1"/>
        <v>0</v>
      </c>
      <c r="I14" s="1171">
        <v>0.15</v>
      </c>
      <c r="J14" s="306" t="s">
        <v>211</v>
      </c>
    </row>
    <row r="15" spans="2:10" s="614" customFormat="1" x14ac:dyDescent="0.3">
      <c r="B15" s="1172" t="s">
        <v>213</v>
      </c>
      <c r="C15" s="1173">
        <f>SUM(C6:C14)</f>
        <v>0</v>
      </c>
      <c r="D15" s="1174">
        <f t="shared" ref="D15:H15" si="3">SUM(D6:D14)</f>
        <v>0</v>
      </c>
      <c r="E15" s="1173">
        <f>SUM(E6:E14)</f>
        <v>0</v>
      </c>
      <c r="F15" s="1174">
        <f t="shared" si="3"/>
        <v>0</v>
      </c>
      <c r="G15" s="1173">
        <f t="shared" si="3"/>
        <v>0</v>
      </c>
      <c r="H15" s="1175">
        <f t="shared" si="3"/>
        <v>0</v>
      </c>
    </row>
    <row r="17" spans="4:8" x14ac:dyDescent="0.3">
      <c r="D17" s="604" t="s">
        <v>1431</v>
      </c>
      <c r="G17" s="613"/>
      <c r="H17" s="1176">
        <f>+'sch 1-PPE'!L43</f>
        <v>0</v>
      </c>
    </row>
    <row r="18" spans="4:8" x14ac:dyDescent="0.3">
      <c r="D18" s="604" t="s">
        <v>1432</v>
      </c>
      <c r="H18" s="1176">
        <f>H15</f>
        <v>0</v>
      </c>
    </row>
    <row r="19" spans="4:8" x14ac:dyDescent="0.3">
      <c r="E19" s="604" t="s">
        <v>1433</v>
      </c>
      <c r="H19" s="1176">
        <f>H17-H18</f>
        <v>0</v>
      </c>
    </row>
    <row r="20" spans="4:8" x14ac:dyDescent="0.3">
      <c r="E20" s="604" t="s">
        <v>1435</v>
      </c>
      <c r="H20" s="1176">
        <f>H19*25%</f>
        <v>0</v>
      </c>
    </row>
    <row r="21" spans="4:8" x14ac:dyDescent="0.3">
      <c r="E21" s="604" t="s">
        <v>1434</v>
      </c>
      <c r="H21" s="1176">
        <v>0</v>
      </c>
    </row>
    <row r="22" spans="4:8" x14ac:dyDescent="0.3">
      <c r="E22" s="604" t="s">
        <v>1436</v>
      </c>
      <c r="H22" s="1176">
        <f>H20-H21</f>
        <v>0</v>
      </c>
    </row>
    <row r="23" spans="4:8" x14ac:dyDescent="0.3">
      <c r="H23" s="1176"/>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9"/>
  <sheetViews>
    <sheetView view="pageBreakPreview" topLeftCell="A16" zoomScaleSheetLayoutView="100" workbookViewId="0">
      <selection activeCell="B9" sqref="B9"/>
    </sheetView>
  </sheetViews>
  <sheetFormatPr defaultRowHeight="15.6" x14ac:dyDescent="0.3"/>
  <cols>
    <col min="1" max="1" width="4.44140625" style="448" customWidth="1"/>
    <col min="2" max="2" width="65.109375" style="448" customWidth="1"/>
    <col min="3" max="4" width="22.6640625" style="448" customWidth="1"/>
    <col min="5" max="5" width="15.88671875" style="448" bestFit="1" customWidth="1"/>
    <col min="6" max="6" width="8.88671875" style="448"/>
    <col min="7" max="7" width="12.109375" style="448" bestFit="1" customWidth="1"/>
    <col min="8" max="256" width="8.88671875" style="448"/>
    <col min="257" max="257" width="4.44140625" style="448" customWidth="1"/>
    <col min="258" max="258" width="45.6640625" style="448" customWidth="1"/>
    <col min="259" max="260" width="27.33203125" style="448" customWidth="1"/>
    <col min="261" max="512" width="8.88671875" style="448"/>
    <col min="513" max="513" width="4.44140625" style="448" customWidth="1"/>
    <col min="514" max="514" width="45.6640625" style="448" customWidth="1"/>
    <col min="515" max="516" width="27.33203125" style="448" customWidth="1"/>
    <col min="517" max="768" width="8.88671875" style="448"/>
    <col min="769" max="769" width="4.44140625" style="448" customWidth="1"/>
    <col min="770" max="770" width="45.6640625" style="448" customWidth="1"/>
    <col min="771" max="772" width="27.33203125" style="448" customWidth="1"/>
    <col min="773" max="1024" width="8.88671875" style="448"/>
    <col min="1025" max="1025" width="4.44140625" style="448" customWidth="1"/>
    <col min="1026" max="1026" width="45.6640625" style="448" customWidth="1"/>
    <col min="1027" max="1028" width="27.33203125" style="448" customWidth="1"/>
    <col min="1029" max="1280" width="8.88671875" style="448"/>
    <col min="1281" max="1281" width="4.44140625" style="448" customWidth="1"/>
    <col min="1282" max="1282" width="45.6640625" style="448" customWidth="1"/>
    <col min="1283" max="1284" width="27.33203125" style="448" customWidth="1"/>
    <col min="1285" max="1536" width="8.88671875" style="448"/>
    <col min="1537" max="1537" width="4.44140625" style="448" customWidth="1"/>
    <col min="1538" max="1538" width="45.6640625" style="448" customWidth="1"/>
    <col min="1539" max="1540" width="27.33203125" style="448" customWidth="1"/>
    <col min="1541" max="1792" width="8.88671875" style="448"/>
    <col min="1793" max="1793" width="4.44140625" style="448" customWidth="1"/>
    <col min="1794" max="1794" width="45.6640625" style="448" customWidth="1"/>
    <col min="1795" max="1796" width="27.33203125" style="448" customWidth="1"/>
    <col min="1797" max="2048" width="8.88671875" style="448"/>
    <col min="2049" max="2049" width="4.44140625" style="448" customWidth="1"/>
    <col min="2050" max="2050" width="45.6640625" style="448" customWidth="1"/>
    <col min="2051" max="2052" width="27.33203125" style="448" customWidth="1"/>
    <col min="2053" max="2304" width="8.88671875" style="448"/>
    <col min="2305" max="2305" width="4.44140625" style="448" customWidth="1"/>
    <col min="2306" max="2306" width="45.6640625" style="448" customWidth="1"/>
    <col min="2307" max="2308" width="27.33203125" style="448" customWidth="1"/>
    <col min="2309" max="2560" width="8.88671875" style="448"/>
    <col min="2561" max="2561" width="4.44140625" style="448" customWidth="1"/>
    <col min="2562" max="2562" width="45.6640625" style="448" customWidth="1"/>
    <col min="2563" max="2564" width="27.33203125" style="448" customWidth="1"/>
    <col min="2565" max="2816" width="8.88671875" style="448"/>
    <col min="2817" max="2817" width="4.44140625" style="448" customWidth="1"/>
    <col min="2818" max="2818" width="45.6640625" style="448" customWidth="1"/>
    <col min="2819" max="2820" width="27.33203125" style="448" customWidth="1"/>
    <col min="2821" max="3072" width="8.88671875" style="448"/>
    <col min="3073" max="3073" width="4.44140625" style="448" customWidth="1"/>
    <col min="3074" max="3074" width="45.6640625" style="448" customWidth="1"/>
    <col min="3075" max="3076" width="27.33203125" style="448" customWidth="1"/>
    <col min="3077" max="3328" width="8.88671875" style="448"/>
    <col min="3329" max="3329" width="4.44140625" style="448" customWidth="1"/>
    <col min="3330" max="3330" width="45.6640625" style="448" customWidth="1"/>
    <col min="3331" max="3332" width="27.33203125" style="448" customWidth="1"/>
    <col min="3333" max="3584" width="8.88671875" style="448"/>
    <col min="3585" max="3585" width="4.44140625" style="448" customWidth="1"/>
    <col min="3586" max="3586" width="45.6640625" style="448" customWidth="1"/>
    <col min="3587" max="3588" width="27.33203125" style="448" customWidth="1"/>
    <col min="3589" max="3840" width="8.88671875" style="448"/>
    <col min="3841" max="3841" width="4.44140625" style="448" customWidth="1"/>
    <col min="3842" max="3842" width="45.6640625" style="448" customWidth="1"/>
    <col min="3843" max="3844" width="27.33203125" style="448" customWidth="1"/>
    <col min="3845" max="4096" width="8.88671875" style="448"/>
    <col min="4097" max="4097" width="4.44140625" style="448" customWidth="1"/>
    <col min="4098" max="4098" width="45.6640625" style="448" customWidth="1"/>
    <col min="4099" max="4100" width="27.33203125" style="448" customWidth="1"/>
    <col min="4101" max="4352" width="8.88671875" style="448"/>
    <col min="4353" max="4353" width="4.44140625" style="448" customWidth="1"/>
    <col min="4354" max="4354" width="45.6640625" style="448" customWidth="1"/>
    <col min="4355" max="4356" width="27.33203125" style="448" customWidth="1"/>
    <col min="4357" max="4608" width="8.88671875" style="448"/>
    <col min="4609" max="4609" width="4.44140625" style="448" customWidth="1"/>
    <col min="4610" max="4610" width="45.6640625" style="448" customWidth="1"/>
    <col min="4611" max="4612" width="27.33203125" style="448" customWidth="1"/>
    <col min="4613" max="4864" width="8.88671875" style="448"/>
    <col min="4865" max="4865" width="4.44140625" style="448" customWidth="1"/>
    <col min="4866" max="4866" width="45.6640625" style="448" customWidth="1"/>
    <col min="4867" max="4868" width="27.33203125" style="448" customWidth="1"/>
    <col min="4869" max="5120" width="8.88671875" style="448"/>
    <col min="5121" max="5121" width="4.44140625" style="448" customWidth="1"/>
    <col min="5122" max="5122" width="45.6640625" style="448" customWidth="1"/>
    <col min="5123" max="5124" width="27.33203125" style="448" customWidth="1"/>
    <col min="5125" max="5376" width="8.88671875" style="448"/>
    <col min="5377" max="5377" width="4.44140625" style="448" customWidth="1"/>
    <col min="5378" max="5378" width="45.6640625" style="448" customWidth="1"/>
    <col min="5379" max="5380" width="27.33203125" style="448" customWidth="1"/>
    <col min="5381" max="5632" width="8.88671875" style="448"/>
    <col min="5633" max="5633" width="4.44140625" style="448" customWidth="1"/>
    <col min="5634" max="5634" width="45.6640625" style="448" customWidth="1"/>
    <col min="5635" max="5636" width="27.33203125" style="448" customWidth="1"/>
    <col min="5637" max="5888" width="8.88671875" style="448"/>
    <col min="5889" max="5889" width="4.44140625" style="448" customWidth="1"/>
    <col min="5890" max="5890" width="45.6640625" style="448" customWidth="1"/>
    <col min="5891" max="5892" width="27.33203125" style="448" customWidth="1"/>
    <col min="5893" max="6144" width="8.88671875" style="448"/>
    <col min="6145" max="6145" width="4.44140625" style="448" customWidth="1"/>
    <col min="6146" max="6146" width="45.6640625" style="448" customWidth="1"/>
    <col min="6147" max="6148" width="27.33203125" style="448" customWidth="1"/>
    <col min="6149" max="6400" width="8.88671875" style="448"/>
    <col min="6401" max="6401" width="4.44140625" style="448" customWidth="1"/>
    <col min="6402" max="6402" width="45.6640625" style="448" customWidth="1"/>
    <col min="6403" max="6404" width="27.33203125" style="448" customWidth="1"/>
    <col min="6405" max="6656" width="8.88671875" style="448"/>
    <col min="6657" max="6657" width="4.44140625" style="448" customWidth="1"/>
    <col min="6658" max="6658" width="45.6640625" style="448" customWidth="1"/>
    <col min="6659" max="6660" width="27.33203125" style="448" customWidth="1"/>
    <col min="6661" max="6912" width="8.88671875" style="448"/>
    <col min="6913" max="6913" width="4.44140625" style="448" customWidth="1"/>
    <col min="6914" max="6914" width="45.6640625" style="448" customWidth="1"/>
    <col min="6915" max="6916" width="27.33203125" style="448" customWidth="1"/>
    <col min="6917" max="7168" width="8.88671875" style="448"/>
    <col min="7169" max="7169" width="4.44140625" style="448" customWidth="1"/>
    <col min="7170" max="7170" width="45.6640625" style="448" customWidth="1"/>
    <col min="7171" max="7172" width="27.33203125" style="448" customWidth="1"/>
    <col min="7173" max="7424" width="8.88671875" style="448"/>
    <col min="7425" max="7425" width="4.44140625" style="448" customWidth="1"/>
    <col min="7426" max="7426" width="45.6640625" style="448" customWidth="1"/>
    <col min="7427" max="7428" width="27.33203125" style="448" customWidth="1"/>
    <col min="7429" max="7680" width="8.88671875" style="448"/>
    <col min="7681" max="7681" width="4.44140625" style="448" customWidth="1"/>
    <col min="7682" max="7682" width="45.6640625" style="448" customWidth="1"/>
    <col min="7683" max="7684" width="27.33203125" style="448" customWidth="1"/>
    <col min="7685" max="7936" width="8.88671875" style="448"/>
    <col min="7937" max="7937" width="4.44140625" style="448" customWidth="1"/>
    <col min="7938" max="7938" width="45.6640625" style="448" customWidth="1"/>
    <col min="7939" max="7940" width="27.33203125" style="448" customWidth="1"/>
    <col min="7941" max="8192" width="8.88671875" style="448"/>
    <col min="8193" max="8193" width="4.44140625" style="448" customWidth="1"/>
    <col min="8194" max="8194" width="45.6640625" style="448" customWidth="1"/>
    <col min="8195" max="8196" width="27.33203125" style="448" customWidth="1"/>
    <col min="8197" max="8448" width="8.88671875" style="448"/>
    <col min="8449" max="8449" width="4.44140625" style="448" customWidth="1"/>
    <col min="8450" max="8450" width="45.6640625" style="448" customWidth="1"/>
    <col min="8451" max="8452" width="27.33203125" style="448" customWidth="1"/>
    <col min="8453" max="8704" width="8.88671875" style="448"/>
    <col min="8705" max="8705" width="4.44140625" style="448" customWidth="1"/>
    <col min="8706" max="8706" width="45.6640625" style="448" customWidth="1"/>
    <col min="8707" max="8708" width="27.33203125" style="448" customWidth="1"/>
    <col min="8709" max="8960" width="8.88671875" style="448"/>
    <col min="8961" max="8961" width="4.44140625" style="448" customWidth="1"/>
    <col min="8962" max="8962" width="45.6640625" style="448" customWidth="1"/>
    <col min="8963" max="8964" width="27.33203125" style="448" customWidth="1"/>
    <col min="8965" max="9216" width="8.88671875" style="448"/>
    <col min="9217" max="9217" width="4.44140625" style="448" customWidth="1"/>
    <col min="9218" max="9218" width="45.6640625" style="448" customWidth="1"/>
    <col min="9219" max="9220" width="27.33203125" style="448" customWidth="1"/>
    <col min="9221" max="9472" width="8.88671875" style="448"/>
    <col min="9473" max="9473" width="4.44140625" style="448" customWidth="1"/>
    <col min="9474" max="9474" width="45.6640625" style="448" customWidth="1"/>
    <col min="9475" max="9476" width="27.33203125" style="448" customWidth="1"/>
    <col min="9477" max="9728" width="8.88671875" style="448"/>
    <col min="9729" max="9729" width="4.44140625" style="448" customWidth="1"/>
    <col min="9730" max="9730" width="45.6640625" style="448" customWidth="1"/>
    <col min="9731" max="9732" width="27.33203125" style="448" customWidth="1"/>
    <col min="9733" max="9984" width="8.88671875" style="448"/>
    <col min="9985" max="9985" width="4.44140625" style="448" customWidth="1"/>
    <col min="9986" max="9986" width="45.6640625" style="448" customWidth="1"/>
    <col min="9987" max="9988" width="27.33203125" style="448" customWidth="1"/>
    <col min="9989" max="10240" width="8.88671875" style="448"/>
    <col min="10241" max="10241" width="4.44140625" style="448" customWidth="1"/>
    <col min="10242" max="10242" width="45.6640625" style="448" customWidth="1"/>
    <col min="10243" max="10244" width="27.33203125" style="448" customWidth="1"/>
    <col min="10245" max="10496" width="8.88671875" style="448"/>
    <col min="10497" max="10497" width="4.44140625" style="448" customWidth="1"/>
    <col min="10498" max="10498" width="45.6640625" style="448" customWidth="1"/>
    <col min="10499" max="10500" width="27.33203125" style="448" customWidth="1"/>
    <col min="10501" max="10752" width="8.88671875" style="448"/>
    <col min="10753" max="10753" width="4.44140625" style="448" customWidth="1"/>
    <col min="10754" max="10754" width="45.6640625" style="448" customWidth="1"/>
    <col min="10755" max="10756" width="27.33203125" style="448" customWidth="1"/>
    <col min="10757" max="11008" width="8.88671875" style="448"/>
    <col min="11009" max="11009" width="4.44140625" style="448" customWidth="1"/>
    <col min="11010" max="11010" width="45.6640625" style="448" customWidth="1"/>
    <col min="11011" max="11012" width="27.33203125" style="448" customWidth="1"/>
    <col min="11013" max="11264" width="8.88671875" style="448"/>
    <col min="11265" max="11265" width="4.44140625" style="448" customWidth="1"/>
    <col min="11266" max="11266" width="45.6640625" style="448" customWidth="1"/>
    <col min="11267" max="11268" width="27.33203125" style="448" customWidth="1"/>
    <col min="11269" max="11520" width="8.88671875" style="448"/>
    <col min="11521" max="11521" width="4.44140625" style="448" customWidth="1"/>
    <col min="11522" max="11522" width="45.6640625" style="448" customWidth="1"/>
    <col min="11523" max="11524" width="27.33203125" style="448" customWidth="1"/>
    <col min="11525" max="11776" width="8.88671875" style="448"/>
    <col min="11777" max="11777" width="4.44140625" style="448" customWidth="1"/>
    <col min="11778" max="11778" width="45.6640625" style="448" customWidth="1"/>
    <col min="11779" max="11780" width="27.33203125" style="448" customWidth="1"/>
    <col min="11781" max="12032" width="8.88671875" style="448"/>
    <col min="12033" max="12033" width="4.44140625" style="448" customWidth="1"/>
    <col min="12034" max="12034" width="45.6640625" style="448" customWidth="1"/>
    <col min="12035" max="12036" width="27.33203125" style="448" customWidth="1"/>
    <col min="12037" max="12288" width="8.88671875" style="448"/>
    <col min="12289" max="12289" width="4.44140625" style="448" customWidth="1"/>
    <col min="12290" max="12290" width="45.6640625" style="448" customWidth="1"/>
    <col min="12291" max="12292" width="27.33203125" style="448" customWidth="1"/>
    <col min="12293" max="12544" width="8.88671875" style="448"/>
    <col min="12545" max="12545" width="4.44140625" style="448" customWidth="1"/>
    <col min="12546" max="12546" width="45.6640625" style="448" customWidth="1"/>
    <col min="12547" max="12548" width="27.33203125" style="448" customWidth="1"/>
    <col min="12549" max="12800" width="8.88671875" style="448"/>
    <col min="12801" max="12801" width="4.44140625" style="448" customWidth="1"/>
    <col min="12802" max="12802" width="45.6640625" style="448" customWidth="1"/>
    <col min="12803" max="12804" width="27.33203125" style="448" customWidth="1"/>
    <col min="12805" max="13056" width="8.88671875" style="448"/>
    <col min="13057" max="13057" width="4.44140625" style="448" customWidth="1"/>
    <col min="13058" max="13058" width="45.6640625" style="448" customWidth="1"/>
    <col min="13059" max="13060" width="27.33203125" style="448" customWidth="1"/>
    <col min="13061" max="13312" width="8.88671875" style="448"/>
    <col min="13313" max="13313" width="4.44140625" style="448" customWidth="1"/>
    <col min="13314" max="13314" width="45.6640625" style="448" customWidth="1"/>
    <col min="13315" max="13316" width="27.33203125" style="448" customWidth="1"/>
    <col min="13317" max="13568" width="8.88671875" style="448"/>
    <col min="13569" max="13569" width="4.44140625" style="448" customWidth="1"/>
    <col min="13570" max="13570" width="45.6640625" style="448" customWidth="1"/>
    <col min="13571" max="13572" width="27.33203125" style="448" customWidth="1"/>
    <col min="13573" max="13824" width="8.88671875" style="448"/>
    <col min="13825" max="13825" width="4.44140625" style="448" customWidth="1"/>
    <col min="13826" max="13826" width="45.6640625" style="448" customWidth="1"/>
    <col min="13827" max="13828" width="27.33203125" style="448" customWidth="1"/>
    <col min="13829" max="14080" width="8.88671875" style="448"/>
    <col min="14081" max="14081" width="4.44140625" style="448" customWidth="1"/>
    <col min="14082" max="14082" width="45.6640625" style="448" customWidth="1"/>
    <col min="14083" max="14084" width="27.33203125" style="448" customWidth="1"/>
    <col min="14085" max="14336" width="8.88671875" style="448"/>
    <col min="14337" max="14337" width="4.44140625" style="448" customWidth="1"/>
    <col min="14338" max="14338" width="45.6640625" style="448" customWidth="1"/>
    <col min="14339" max="14340" width="27.33203125" style="448" customWidth="1"/>
    <col min="14341" max="14592" width="8.88671875" style="448"/>
    <col min="14593" max="14593" width="4.44140625" style="448" customWidth="1"/>
    <col min="14594" max="14594" width="45.6640625" style="448" customWidth="1"/>
    <col min="14595" max="14596" width="27.33203125" style="448" customWidth="1"/>
    <col min="14597" max="14848" width="8.88671875" style="448"/>
    <col min="14849" max="14849" width="4.44140625" style="448" customWidth="1"/>
    <col min="14850" max="14850" width="45.6640625" style="448" customWidth="1"/>
    <col min="14851" max="14852" width="27.33203125" style="448" customWidth="1"/>
    <col min="14853" max="15104" width="8.88671875" style="448"/>
    <col min="15105" max="15105" width="4.44140625" style="448" customWidth="1"/>
    <col min="15106" max="15106" width="45.6640625" style="448" customWidth="1"/>
    <col min="15107" max="15108" width="27.33203125" style="448" customWidth="1"/>
    <col min="15109" max="15360" width="8.88671875" style="448"/>
    <col min="15361" max="15361" width="4.44140625" style="448" customWidth="1"/>
    <col min="15362" max="15362" width="45.6640625" style="448" customWidth="1"/>
    <col min="15363" max="15364" width="27.33203125" style="448" customWidth="1"/>
    <col min="15365" max="15616" width="8.88671875" style="448"/>
    <col min="15617" max="15617" width="4.44140625" style="448" customWidth="1"/>
    <col min="15618" max="15618" width="45.6640625" style="448" customWidth="1"/>
    <col min="15619" max="15620" width="27.33203125" style="448" customWidth="1"/>
    <col min="15621" max="15872" width="8.88671875" style="448"/>
    <col min="15873" max="15873" width="4.44140625" style="448" customWidth="1"/>
    <col min="15874" max="15874" width="45.6640625" style="448" customWidth="1"/>
    <col min="15875" max="15876" width="27.33203125" style="448" customWidth="1"/>
    <col min="15877" max="16128" width="8.88671875" style="448"/>
    <col min="16129" max="16129" width="4.44140625" style="448" customWidth="1"/>
    <col min="16130" max="16130" width="7.44140625" style="448" customWidth="1"/>
    <col min="16131" max="16131" width="17.6640625" style="448" customWidth="1"/>
    <col min="16132" max="16132" width="27.33203125" style="448" customWidth="1"/>
    <col min="16133" max="16384" width="8.88671875" style="448"/>
  </cols>
  <sheetData>
    <row r="1" spans="2:4" x14ac:dyDescent="0.3">
      <c r="B1" s="447" t="s">
        <v>212</v>
      </c>
    </row>
    <row r="2" spans="2:4" x14ac:dyDescent="0.3">
      <c r="B2" s="447" t="s">
        <v>389</v>
      </c>
    </row>
    <row r="3" spans="2:4" x14ac:dyDescent="0.3">
      <c r="B3" s="447"/>
    </row>
    <row r="4" spans="2:4" x14ac:dyDescent="0.3">
      <c r="B4" s="449" t="s">
        <v>2094</v>
      </c>
      <c r="C4" s="450"/>
      <c r="D4" s="449"/>
    </row>
    <row r="6" spans="2:4" x14ac:dyDescent="0.3">
      <c r="B6" s="447" t="s">
        <v>643</v>
      </c>
    </row>
    <row r="8" spans="2:4" x14ac:dyDescent="0.3">
      <c r="B8" s="363" t="s">
        <v>644</v>
      </c>
      <c r="C8" s="451" t="s">
        <v>645</v>
      </c>
      <c r="D8" s="452"/>
    </row>
    <row r="9" spans="2:4" x14ac:dyDescent="0.3">
      <c r="B9" s="1181" t="s">
        <v>273</v>
      </c>
      <c r="C9" s="1181" t="s">
        <v>646</v>
      </c>
      <c r="D9" s="454"/>
    </row>
    <row r="10" spans="2:4" x14ac:dyDescent="0.3">
      <c r="B10" s="1182" t="s">
        <v>647</v>
      </c>
      <c r="C10" s="1181" t="s">
        <v>646</v>
      </c>
      <c r="D10" s="452"/>
    </row>
    <row r="11" spans="2:4" s="297" customFormat="1" x14ac:dyDescent="0.3">
      <c r="B11" s="1183" t="s">
        <v>648</v>
      </c>
      <c r="C11" s="1182" t="s">
        <v>646</v>
      </c>
      <c r="D11" s="455"/>
    </row>
    <row r="12" spans="2:4" s="297" customFormat="1" x14ac:dyDescent="0.3">
      <c r="B12" s="1183" t="s">
        <v>649</v>
      </c>
      <c r="C12" s="1184" t="s">
        <v>650</v>
      </c>
      <c r="D12" s="456"/>
    </row>
    <row r="13" spans="2:4" s="297" customFormat="1" x14ac:dyDescent="0.3">
      <c r="B13" s="1183" t="s">
        <v>651</v>
      </c>
      <c r="C13" s="1184" t="s">
        <v>365</v>
      </c>
      <c r="D13" s="456"/>
    </row>
    <row r="14" spans="2:4" s="297" customFormat="1" x14ac:dyDescent="0.3">
      <c r="B14" s="1183" t="s">
        <v>652</v>
      </c>
      <c r="C14" s="1184" t="s">
        <v>365</v>
      </c>
      <c r="D14" s="456"/>
    </row>
    <row r="15" spans="2:4" x14ac:dyDescent="0.3">
      <c r="B15" s="457"/>
      <c r="C15" s="458"/>
      <c r="D15" s="459"/>
    </row>
    <row r="16" spans="2:4" ht="29.25" customHeight="1" x14ac:dyDescent="0.3">
      <c r="B16" s="2054" t="s">
        <v>653</v>
      </c>
      <c r="C16" s="2055"/>
      <c r="D16" s="2056"/>
    </row>
    <row r="18" spans="2:4" x14ac:dyDescent="0.3">
      <c r="B18" s="2051" t="s">
        <v>1339</v>
      </c>
      <c r="C18" s="2051"/>
      <c r="D18" s="2051"/>
    </row>
    <row r="19" spans="2:4" x14ac:dyDescent="0.3">
      <c r="B19" s="2051"/>
      <c r="C19" s="2051"/>
      <c r="D19" s="2051"/>
    </row>
    <row r="20" spans="2:4" x14ac:dyDescent="0.3">
      <c r="B20" s="460"/>
      <c r="C20" s="461"/>
      <c r="D20" s="462" t="s">
        <v>341</v>
      </c>
    </row>
    <row r="21" spans="2:4" x14ac:dyDescent="0.3">
      <c r="B21" s="2052" t="s">
        <v>654</v>
      </c>
      <c r="C21" s="463" t="s">
        <v>655</v>
      </c>
      <c r="D21" s="463" t="s">
        <v>655</v>
      </c>
    </row>
    <row r="22" spans="2:4" x14ac:dyDescent="0.3">
      <c r="B22" s="2053"/>
      <c r="C22" s="464">
        <v>43921</v>
      </c>
      <c r="D22" s="464">
        <v>43555</v>
      </c>
    </row>
    <row r="23" spans="2:4" x14ac:dyDescent="0.3">
      <c r="B23" s="465"/>
      <c r="C23" s="466"/>
      <c r="D23" s="467"/>
    </row>
    <row r="24" spans="2:4" x14ac:dyDescent="0.3">
      <c r="B24" s="468" t="s">
        <v>651</v>
      </c>
      <c r="C24" s="466"/>
      <c r="D24" s="467">
        <v>0</v>
      </c>
    </row>
    <row r="25" spans="2:4" x14ac:dyDescent="0.3">
      <c r="B25" s="465" t="s">
        <v>659</v>
      </c>
      <c r="C25" s="466">
        <f>+D28</f>
        <v>0</v>
      </c>
      <c r="D25" s="467">
        <v>0</v>
      </c>
    </row>
    <row r="26" spans="2:4" x14ac:dyDescent="0.3">
      <c r="B26" s="465" t="s">
        <v>656</v>
      </c>
      <c r="C26" s="466">
        <v>0</v>
      </c>
      <c r="D26" s="467">
        <v>0</v>
      </c>
    </row>
    <row r="27" spans="2:4" x14ac:dyDescent="0.3">
      <c r="B27" s="465" t="s">
        <v>657</v>
      </c>
      <c r="C27" s="466">
        <v>0</v>
      </c>
      <c r="D27" s="467">
        <v>0</v>
      </c>
    </row>
    <row r="28" spans="2:4" x14ac:dyDescent="0.3">
      <c r="B28" s="465" t="s">
        <v>658</v>
      </c>
      <c r="C28" s="466">
        <f>C25+C26-C27</f>
        <v>0</v>
      </c>
      <c r="D28" s="466">
        <f>E28+D26-D27</f>
        <v>0</v>
      </c>
    </row>
    <row r="29" spans="2:4" x14ac:dyDescent="0.3">
      <c r="B29" s="465"/>
      <c r="C29" s="466"/>
      <c r="D29" s="467"/>
    </row>
    <row r="30" spans="2:4" x14ac:dyDescent="0.3">
      <c r="B30" s="468" t="s">
        <v>652</v>
      </c>
      <c r="C30" s="466"/>
      <c r="D30" s="469"/>
    </row>
    <row r="31" spans="2:4" x14ac:dyDescent="0.3">
      <c r="B31" s="465" t="s">
        <v>659</v>
      </c>
      <c r="C31" s="466">
        <f>D34</f>
        <v>0</v>
      </c>
      <c r="D31" s="469">
        <v>0</v>
      </c>
    </row>
    <row r="32" spans="2:4" x14ac:dyDescent="0.3">
      <c r="B32" s="465" t="s">
        <v>656</v>
      </c>
      <c r="C32" s="466">
        <v>0</v>
      </c>
      <c r="D32" s="467">
        <v>0</v>
      </c>
    </row>
    <row r="33" spans="2:7" x14ac:dyDescent="0.3">
      <c r="B33" s="465" t="s">
        <v>657</v>
      </c>
      <c r="C33" s="466">
        <v>0</v>
      </c>
      <c r="D33" s="467">
        <v>0</v>
      </c>
      <c r="E33" s="393" t="s">
        <v>211</v>
      </c>
    </row>
    <row r="34" spans="2:7" x14ac:dyDescent="0.3">
      <c r="B34" s="465" t="s">
        <v>658</v>
      </c>
      <c r="C34" s="466">
        <f>C31+C32-C33</f>
        <v>0</v>
      </c>
      <c r="D34" s="467">
        <f>+D31+D32-D33</f>
        <v>0</v>
      </c>
      <c r="E34" s="470" t="s">
        <v>211</v>
      </c>
      <c r="G34" s="448" t="s">
        <v>211</v>
      </c>
    </row>
    <row r="35" spans="2:7" x14ac:dyDescent="0.3">
      <c r="B35" s="471"/>
      <c r="C35" s="472"/>
      <c r="D35" s="473"/>
    </row>
    <row r="37" spans="2:7" s="297" customFormat="1" x14ac:dyDescent="0.3">
      <c r="B37" s="474" t="s">
        <v>2095</v>
      </c>
      <c r="D37" s="401" t="s">
        <v>341</v>
      </c>
    </row>
    <row r="38" spans="2:7" s="297" customFormat="1" ht="31.2" x14ac:dyDescent="0.3">
      <c r="B38" s="475"/>
      <c r="C38" s="394" t="s">
        <v>1269</v>
      </c>
      <c r="D38" s="394" t="s">
        <v>1269</v>
      </c>
    </row>
    <row r="39" spans="2:7" s="297" customFormat="1" ht="31.2" x14ac:dyDescent="0.3">
      <c r="B39" s="476" t="s">
        <v>660</v>
      </c>
      <c r="C39" s="477">
        <v>10</v>
      </c>
      <c r="D39" s="477">
        <v>10</v>
      </c>
    </row>
    <row r="40" spans="2:7" s="297" customFormat="1" x14ac:dyDescent="0.3">
      <c r="B40" s="374" t="s">
        <v>661</v>
      </c>
      <c r="C40" s="477">
        <f>+'BS PL CFL'!G141</f>
        <v>0</v>
      </c>
      <c r="D40" s="477">
        <f>+'BS PL CFL'!H141</f>
        <v>0</v>
      </c>
    </row>
    <row r="41" spans="2:7" s="297" customFormat="1" ht="31.2" x14ac:dyDescent="0.3">
      <c r="B41" s="476" t="s">
        <v>662</v>
      </c>
      <c r="C41" s="477">
        <f>'sch 12-12.2'!H14</f>
        <v>0</v>
      </c>
      <c r="D41" s="477">
        <f>'sch 12-12.2'!J14</f>
        <v>0</v>
      </c>
    </row>
    <row r="42" spans="2:7" s="297" customFormat="1" x14ac:dyDescent="0.3">
      <c r="B42" s="476" t="s">
        <v>1972</v>
      </c>
      <c r="C42" s="478" t="e">
        <f>C40/C41</f>
        <v>#DIV/0!</v>
      </c>
      <c r="D42" s="478" t="e">
        <f>D40/D41</f>
        <v>#DIV/0!</v>
      </c>
    </row>
    <row r="44" spans="2:7" x14ac:dyDescent="0.3">
      <c r="B44" s="474" t="s">
        <v>2096</v>
      </c>
      <c r="C44" s="297"/>
      <c r="D44" s="401" t="s">
        <v>341</v>
      </c>
    </row>
    <row r="45" spans="2:7" ht="31.2" x14ac:dyDescent="0.3">
      <c r="B45" s="475"/>
      <c r="C45" s="394" t="s">
        <v>1269</v>
      </c>
      <c r="D45" s="394" t="s">
        <v>1269</v>
      </c>
    </row>
    <row r="46" spans="2:7" ht="31.2" x14ac:dyDescent="0.3">
      <c r="B46" s="476" t="s">
        <v>660</v>
      </c>
      <c r="C46" s="477">
        <v>10</v>
      </c>
      <c r="D46" s="477">
        <v>10</v>
      </c>
    </row>
    <row r="47" spans="2:7" x14ac:dyDescent="0.3">
      <c r="B47" s="374" t="s">
        <v>661</v>
      </c>
      <c r="C47" s="477">
        <f>C40</f>
        <v>0</v>
      </c>
      <c r="D47" s="477">
        <v>-20280823</v>
      </c>
    </row>
    <row r="48" spans="2:7" ht="31.2" x14ac:dyDescent="0.3">
      <c r="B48" s="476" t="s">
        <v>662</v>
      </c>
      <c r="C48" s="477">
        <f>'sch 12-12.2'!H23</f>
        <v>0</v>
      </c>
      <c r="D48" s="477">
        <f>'sch 12-12.2'!J23</f>
        <v>0</v>
      </c>
    </row>
    <row r="49" spans="2:4" x14ac:dyDescent="0.3">
      <c r="B49" s="476" t="s">
        <v>1973</v>
      </c>
      <c r="C49" s="478" t="e">
        <f>C47/C48</f>
        <v>#DIV/0!</v>
      </c>
      <c r="D49" s="478" t="e">
        <f>D47/D48</f>
        <v>#DIV/0!</v>
      </c>
    </row>
  </sheetData>
  <mergeCells count="3">
    <mergeCell ref="B18:D19"/>
    <mergeCell ref="B21:B22"/>
    <mergeCell ref="B16:D16"/>
  </mergeCells>
  <pageMargins left="0.7" right="0.7" top="0.75" bottom="0.75" header="0.3" footer="0.3"/>
  <pageSetup paperSize="9" scale="71"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B74"/>
  <sheetViews>
    <sheetView topLeftCell="A33" workbookViewId="0">
      <selection activeCell="F69" sqref="F69"/>
    </sheetView>
  </sheetViews>
  <sheetFormatPr defaultRowHeight="15.6" x14ac:dyDescent="0.3"/>
  <cols>
    <col min="1" max="1" width="8.88671875" style="490"/>
    <col min="2" max="2" width="14" style="490" customWidth="1"/>
    <col min="3" max="3" width="54.88671875" style="490" customWidth="1"/>
    <col min="4" max="4" width="16.44140625" style="490" customWidth="1"/>
    <col min="5" max="6" width="16.44140625" style="491" customWidth="1"/>
    <col min="7" max="7" width="15.6640625" style="491" customWidth="1"/>
    <col min="8" max="8" width="2.44140625" style="491" hidden="1" customWidth="1"/>
    <col min="9" max="9" width="14.6640625" style="490" hidden="1" customWidth="1"/>
    <col min="10" max="10" width="3.33203125" style="490" hidden="1" customWidth="1"/>
    <col min="11" max="11" width="7.6640625" style="490" hidden="1" customWidth="1"/>
    <col min="12" max="12" width="10.44140625" style="490" hidden="1" customWidth="1"/>
    <col min="13" max="13" width="10.5546875" style="490" hidden="1" customWidth="1"/>
    <col min="14" max="14" width="10.6640625" style="490" hidden="1" customWidth="1"/>
    <col min="15" max="15" width="10.5546875" style="490" hidden="1" customWidth="1"/>
    <col min="16" max="16" width="13.44140625" style="490" hidden="1" customWidth="1"/>
    <col min="17" max="17" width="15.5546875" style="490" hidden="1" customWidth="1"/>
    <col min="18" max="18" width="10" style="492" hidden="1" customWidth="1"/>
    <col min="19" max="23" width="0" style="490" hidden="1" customWidth="1"/>
    <col min="24" max="24" width="15.6640625" style="490" customWidth="1"/>
    <col min="25" max="25" width="15.33203125" style="490" customWidth="1"/>
    <col min="26" max="26" width="17.33203125" style="490" customWidth="1"/>
    <col min="27" max="28" width="13" style="490" bestFit="1" customWidth="1"/>
    <col min="29" max="256" width="8.88671875" style="490"/>
    <col min="257" max="257" width="12.33203125" style="490" customWidth="1"/>
    <col min="258" max="258" width="8.6640625" style="490" customWidth="1"/>
    <col min="259" max="259" width="63.6640625" style="490" customWidth="1"/>
    <col min="260" max="260" width="12.33203125" style="490" bestFit="1" customWidth="1"/>
    <col min="261" max="261" width="20.6640625" style="490" bestFit="1" customWidth="1"/>
    <col min="262" max="262" width="11.33203125" style="490" customWidth="1"/>
    <col min="263" max="263" width="14.6640625" style="490" customWidth="1"/>
    <col min="264" max="266" width="8.88671875" style="490"/>
    <col min="267" max="267" width="31.6640625" style="490" bestFit="1" customWidth="1"/>
    <col min="268" max="268" width="8.88671875" style="490"/>
    <col min="269" max="270" width="15.6640625" style="490" customWidth="1"/>
    <col min="271" max="512" width="8.88671875" style="490"/>
    <col min="513" max="513" width="12.33203125" style="490" customWidth="1"/>
    <col min="514" max="514" width="8.6640625" style="490" customWidth="1"/>
    <col min="515" max="515" width="63.6640625" style="490" customWidth="1"/>
    <col min="516" max="516" width="12.33203125" style="490" bestFit="1" customWidth="1"/>
    <col min="517" max="517" width="20.6640625" style="490" bestFit="1" customWidth="1"/>
    <col min="518" max="518" width="11.33203125" style="490" customWidth="1"/>
    <col min="519" max="519" width="14.6640625" style="490" customWidth="1"/>
    <col min="520" max="522" width="8.88671875" style="490"/>
    <col min="523" max="523" width="31.6640625" style="490" bestFit="1" customWidth="1"/>
    <col min="524" max="524" width="8.88671875" style="490"/>
    <col min="525" max="526" width="15.6640625" style="490" customWidth="1"/>
    <col min="527" max="768" width="8.88671875" style="490"/>
    <col min="769" max="769" width="12.33203125" style="490" customWidth="1"/>
    <col min="770" max="770" width="8.6640625" style="490" customWidth="1"/>
    <col min="771" max="771" width="63.6640625" style="490" customWidth="1"/>
    <col min="772" max="772" width="12.33203125" style="490" bestFit="1" customWidth="1"/>
    <col min="773" max="773" width="20.6640625" style="490" bestFit="1" customWidth="1"/>
    <col min="774" max="774" width="11.33203125" style="490" customWidth="1"/>
    <col min="775" max="775" width="14.6640625" style="490" customWidth="1"/>
    <col min="776" max="778" width="8.88671875" style="490"/>
    <col min="779" max="779" width="31.6640625" style="490" bestFit="1" customWidth="1"/>
    <col min="780" max="780" width="8.88671875" style="490"/>
    <col min="781" max="782" width="15.6640625" style="490" customWidth="1"/>
    <col min="783" max="1024" width="8.88671875" style="490"/>
    <col min="1025" max="1025" width="12.33203125" style="490" customWidth="1"/>
    <col min="1026" max="1026" width="8.6640625" style="490" customWidth="1"/>
    <col min="1027" max="1027" width="63.6640625" style="490" customWidth="1"/>
    <col min="1028" max="1028" width="12.33203125" style="490" bestFit="1" customWidth="1"/>
    <col min="1029" max="1029" width="20.6640625" style="490" bestFit="1" customWidth="1"/>
    <col min="1030" max="1030" width="11.33203125" style="490" customWidth="1"/>
    <col min="1031" max="1031" width="14.6640625" style="490" customWidth="1"/>
    <col min="1032" max="1034" width="8.88671875" style="490"/>
    <col min="1035" max="1035" width="31.6640625" style="490" bestFit="1" customWidth="1"/>
    <col min="1036" max="1036" width="8.88671875" style="490"/>
    <col min="1037" max="1038" width="15.6640625" style="490" customWidth="1"/>
    <col min="1039" max="1280" width="8.88671875" style="490"/>
    <col min="1281" max="1281" width="12.33203125" style="490" customWidth="1"/>
    <col min="1282" max="1282" width="8.6640625" style="490" customWidth="1"/>
    <col min="1283" max="1283" width="63.6640625" style="490" customWidth="1"/>
    <col min="1284" max="1284" width="12.33203125" style="490" bestFit="1" customWidth="1"/>
    <col min="1285" max="1285" width="20.6640625" style="490" bestFit="1" customWidth="1"/>
    <col min="1286" max="1286" width="11.33203125" style="490" customWidth="1"/>
    <col min="1287" max="1287" width="14.6640625" style="490" customWidth="1"/>
    <col min="1288" max="1290" width="8.88671875" style="490"/>
    <col min="1291" max="1291" width="31.6640625" style="490" bestFit="1" customWidth="1"/>
    <col min="1292" max="1292" width="8.88671875" style="490"/>
    <col min="1293" max="1294" width="15.6640625" style="490" customWidth="1"/>
    <col min="1295" max="1536" width="8.88671875" style="490"/>
    <col min="1537" max="1537" width="12.33203125" style="490" customWidth="1"/>
    <col min="1538" max="1538" width="8.6640625" style="490" customWidth="1"/>
    <col min="1539" max="1539" width="63.6640625" style="490" customWidth="1"/>
    <col min="1540" max="1540" width="12.33203125" style="490" bestFit="1" customWidth="1"/>
    <col min="1541" max="1541" width="20.6640625" style="490" bestFit="1" customWidth="1"/>
    <col min="1542" max="1542" width="11.33203125" style="490" customWidth="1"/>
    <col min="1543" max="1543" width="14.6640625" style="490" customWidth="1"/>
    <col min="1544" max="1546" width="8.88671875" style="490"/>
    <col min="1547" max="1547" width="31.6640625" style="490" bestFit="1" customWidth="1"/>
    <col min="1548" max="1548" width="8.88671875" style="490"/>
    <col min="1549" max="1550" width="15.6640625" style="490" customWidth="1"/>
    <col min="1551" max="1792" width="8.88671875" style="490"/>
    <col min="1793" max="1793" width="12.33203125" style="490" customWidth="1"/>
    <col min="1794" max="1794" width="8.6640625" style="490" customWidth="1"/>
    <col min="1795" max="1795" width="63.6640625" style="490" customWidth="1"/>
    <col min="1796" max="1796" width="12.33203125" style="490" bestFit="1" customWidth="1"/>
    <col min="1797" max="1797" width="20.6640625" style="490" bestFit="1" customWidth="1"/>
    <col min="1798" max="1798" width="11.33203125" style="490" customWidth="1"/>
    <col min="1799" max="1799" width="14.6640625" style="490" customWidth="1"/>
    <col min="1800" max="1802" width="8.88671875" style="490"/>
    <col min="1803" max="1803" width="31.6640625" style="490" bestFit="1" customWidth="1"/>
    <col min="1804" max="1804" width="8.88671875" style="490"/>
    <col min="1805" max="1806" width="15.6640625" style="490" customWidth="1"/>
    <col min="1807" max="2048" width="8.88671875" style="490"/>
    <col min="2049" max="2049" width="12.33203125" style="490" customWidth="1"/>
    <col min="2050" max="2050" width="8.6640625" style="490" customWidth="1"/>
    <col min="2051" max="2051" width="63.6640625" style="490" customWidth="1"/>
    <col min="2052" max="2052" width="12.33203125" style="490" bestFit="1" customWidth="1"/>
    <col min="2053" max="2053" width="20.6640625" style="490" bestFit="1" customWidth="1"/>
    <col min="2054" max="2054" width="11.33203125" style="490" customWidth="1"/>
    <col min="2055" max="2055" width="14.6640625" style="490" customWidth="1"/>
    <col min="2056" max="2058" width="8.88671875" style="490"/>
    <col min="2059" max="2059" width="31.6640625" style="490" bestFit="1" customWidth="1"/>
    <col min="2060" max="2060" width="8.88671875" style="490"/>
    <col min="2061" max="2062" width="15.6640625" style="490" customWidth="1"/>
    <col min="2063" max="2304" width="8.88671875" style="490"/>
    <col min="2305" max="2305" width="12.33203125" style="490" customWidth="1"/>
    <col min="2306" max="2306" width="8.6640625" style="490" customWidth="1"/>
    <col min="2307" max="2307" width="63.6640625" style="490" customWidth="1"/>
    <col min="2308" max="2308" width="12.33203125" style="490" bestFit="1" customWidth="1"/>
    <col min="2309" max="2309" width="20.6640625" style="490" bestFit="1" customWidth="1"/>
    <col min="2310" max="2310" width="11.33203125" style="490" customWidth="1"/>
    <col min="2311" max="2311" width="14.6640625" style="490" customWidth="1"/>
    <col min="2312" max="2314" width="8.88671875" style="490"/>
    <col min="2315" max="2315" width="31.6640625" style="490" bestFit="1" customWidth="1"/>
    <col min="2316" max="2316" width="8.88671875" style="490"/>
    <col min="2317" max="2318" width="15.6640625" style="490" customWidth="1"/>
    <col min="2319" max="2560" width="8.88671875" style="490"/>
    <col min="2561" max="2561" width="12.33203125" style="490" customWidth="1"/>
    <col min="2562" max="2562" width="8.6640625" style="490" customWidth="1"/>
    <col min="2563" max="2563" width="63.6640625" style="490" customWidth="1"/>
    <col min="2564" max="2564" width="12.33203125" style="490" bestFit="1" customWidth="1"/>
    <col min="2565" max="2565" width="20.6640625" style="490" bestFit="1" customWidth="1"/>
    <col min="2566" max="2566" width="11.33203125" style="490" customWidth="1"/>
    <col min="2567" max="2567" width="14.6640625" style="490" customWidth="1"/>
    <col min="2568" max="2570" width="8.88671875" style="490"/>
    <col min="2571" max="2571" width="31.6640625" style="490" bestFit="1" customWidth="1"/>
    <col min="2572" max="2572" width="8.88671875" style="490"/>
    <col min="2573" max="2574" width="15.6640625" style="490" customWidth="1"/>
    <col min="2575" max="2816" width="8.88671875" style="490"/>
    <col min="2817" max="2817" width="12.33203125" style="490" customWidth="1"/>
    <col min="2818" max="2818" width="8.6640625" style="490" customWidth="1"/>
    <col min="2819" max="2819" width="63.6640625" style="490" customWidth="1"/>
    <col min="2820" max="2820" width="12.33203125" style="490" bestFit="1" customWidth="1"/>
    <col min="2821" max="2821" width="20.6640625" style="490" bestFit="1" customWidth="1"/>
    <col min="2822" max="2822" width="11.33203125" style="490" customWidth="1"/>
    <col min="2823" max="2823" width="14.6640625" style="490" customWidth="1"/>
    <col min="2824" max="2826" width="8.88671875" style="490"/>
    <col min="2827" max="2827" width="31.6640625" style="490" bestFit="1" customWidth="1"/>
    <col min="2828" max="2828" width="8.88671875" style="490"/>
    <col min="2829" max="2830" width="15.6640625" style="490" customWidth="1"/>
    <col min="2831" max="3072" width="8.88671875" style="490"/>
    <col min="3073" max="3073" width="12.33203125" style="490" customWidth="1"/>
    <col min="3074" max="3074" width="8.6640625" style="490" customWidth="1"/>
    <col min="3075" max="3075" width="63.6640625" style="490" customWidth="1"/>
    <col min="3076" max="3076" width="12.33203125" style="490" bestFit="1" customWidth="1"/>
    <col min="3077" max="3077" width="20.6640625" style="490" bestFit="1" customWidth="1"/>
    <col min="3078" max="3078" width="11.33203125" style="490" customWidth="1"/>
    <col min="3079" max="3079" width="14.6640625" style="490" customWidth="1"/>
    <col min="3080" max="3082" width="8.88671875" style="490"/>
    <col min="3083" max="3083" width="31.6640625" style="490" bestFit="1" customWidth="1"/>
    <col min="3084" max="3084" width="8.88671875" style="490"/>
    <col min="3085" max="3086" width="15.6640625" style="490" customWidth="1"/>
    <col min="3087" max="3328" width="8.88671875" style="490"/>
    <col min="3329" max="3329" width="12.33203125" style="490" customWidth="1"/>
    <col min="3330" max="3330" width="8.6640625" style="490" customWidth="1"/>
    <col min="3331" max="3331" width="63.6640625" style="490" customWidth="1"/>
    <col min="3332" max="3332" width="12.33203125" style="490" bestFit="1" customWidth="1"/>
    <col min="3333" max="3333" width="20.6640625" style="490" bestFit="1" customWidth="1"/>
    <col min="3334" max="3334" width="11.33203125" style="490" customWidth="1"/>
    <col min="3335" max="3335" width="14.6640625" style="490" customWidth="1"/>
    <col min="3336" max="3338" width="8.88671875" style="490"/>
    <col min="3339" max="3339" width="31.6640625" style="490" bestFit="1" customWidth="1"/>
    <col min="3340" max="3340" width="8.88671875" style="490"/>
    <col min="3341" max="3342" width="15.6640625" style="490" customWidth="1"/>
    <col min="3343" max="3584" width="8.88671875" style="490"/>
    <col min="3585" max="3585" width="12.33203125" style="490" customWidth="1"/>
    <col min="3586" max="3586" width="8.6640625" style="490" customWidth="1"/>
    <col min="3587" max="3587" width="63.6640625" style="490" customWidth="1"/>
    <col min="3588" max="3588" width="12.33203125" style="490" bestFit="1" customWidth="1"/>
    <col min="3589" max="3589" width="20.6640625" style="490" bestFit="1" customWidth="1"/>
    <col min="3590" max="3590" width="11.33203125" style="490" customWidth="1"/>
    <col min="3591" max="3591" width="14.6640625" style="490" customWidth="1"/>
    <col min="3592" max="3594" width="8.88671875" style="490"/>
    <col min="3595" max="3595" width="31.6640625" style="490" bestFit="1" customWidth="1"/>
    <col min="3596" max="3596" width="8.88671875" style="490"/>
    <col min="3597" max="3598" width="15.6640625" style="490" customWidth="1"/>
    <col min="3599" max="3840" width="8.88671875" style="490"/>
    <col min="3841" max="3841" width="12.33203125" style="490" customWidth="1"/>
    <col min="3842" max="3842" width="8.6640625" style="490" customWidth="1"/>
    <col min="3843" max="3843" width="63.6640625" style="490" customWidth="1"/>
    <col min="3844" max="3844" width="12.33203125" style="490" bestFit="1" customWidth="1"/>
    <col min="3845" max="3845" width="20.6640625" style="490" bestFit="1" customWidth="1"/>
    <col min="3846" max="3846" width="11.33203125" style="490" customWidth="1"/>
    <col min="3847" max="3847" width="14.6640625" style="490" customWidth="1"/>
    <col min="3848" max="3850" width="8.88671875" style="490"/>
    <col min="3851" max="3851" width="31.6640625" style="490" bestFit="1" customWidth="1"/>
    <col min="3852" max="3852" width="8.88671875" style="490"/>
    <col min="3853" max="3854" width="15.6640625" style="490" customWidth="1"/>
    <col min="3855" max="4096" width="8.88671875" style="490"/>
    <col min="4097" max="4097" width="12.33203125" style="490" customWidth="1"/>
    <col min="4098" max="4098" width="8.6640625" style="490" customWidth="1"/>
    <col min="4099" max="4099" width="63.6640625" style="490" customWidth="1"/>
    <col min="4100" max="4100" width="12.33203125" style="490" bestFit="1" customWidth="1"/>
    <col min="4101" max="4101" width="20.6640625" style="490" bestFit="1" customWidth="1"/>
    <col min="4102" max="4102" width="11.33203125" style="490" customWidth="1"/>
    <col min="4103" max="4103" width="14.6640625" style="490" customWidth="1"/>
    <col min="4104" max="4106" width="8.88671875" style="490"/>
    <col min="4107" max="4107" width="31.6640625" style="490" bestFit="1" customWidth="1"/>
    <col min="4108" max="4108" width="8.88671875" style="490"/>
    <col min="4109" max="4110" width="15.6640625" style="490" customWidth="1"/>
    <col min="4111" max="4352" width="8.88671875" style="490"/>
    <col min="4353" max="4353" width="12.33203125" style="490" customWidth="1"/>
    <col min="4354" max="4354" width="8.6640625" style="490" customWidth="1"/>
    <col min="4355" max="4355" width="63.6640625" style="490" customWidth="1"/>
    <col min="4356" max="4356" width="12.33203125" style="490" bestFit="1" customWidth="1"/>
    <col min="4357" max="4357" width="20.6640625" style="490" bestFit="1" customWidth="1"/>
    <col min="4358" max="4358" width="11.33203125" style="490" customWidth="1"/>
    <col min="4359" max="4359" width="14.6640625" style="490" customWidth="1"/>
    <col min="4360" max="4362" width="8.88671875" style="490"/>
    <col min="4363" max="4363" width="31.6640625" style="490" bestFit="1" customWidth="1"/>
    <col min="4364" max="4364" width="8.88671875" style="490"/>
    <col min="4365" max="4366" width="15.6640625" style="490" customWidth="1"/>
    <col min="4367" max="4608" width="8.88671875" style="490"/>
    <col min="4609" max="4609" width="12.33203125" style="490" customWidth="1"/>
    <col min="4610" max="4610" width="8.6640625" style="490" customWidth="1"/>
    <col min="4611" max="4611" width="63.6640625" style="490" customWidth="1"/>
    <col min="4612" max="4612" width="12.33203125" style="490" bestFit="1" customWidth="1"/>
    <col min="4613" max="4613" width="20.6640625" style="490" bestFit="1" customWidth="1"/>
    <col min="4614" max="4614" width="11.33203125" style="490" customWidth="1"/>
    <col min="4615" max="4615" width="14.6640625" style="490" customWidth="1"/>
    <col min="4616" max="4618" width="8.88671875" style="490"/>
    <col min="4619" max="4619" width="31.6640625" style="490" bestFit="1" customWidth="1"/>
    <col min="4620" max="4620" width="8.88671875" style="490"/>
    <col min="4621" max="4622" width="15.6640625" style="490" customWidth="1"/>
    <col min="4623" max="4864" width="8.88671875" style="490"/>
    <col min="4865" max="4865" width="12.33203125" style="490" customWidth="1"/>
    <col min="4866" max="4866" width="8.6640625" style="490" customWidth="1"/>
    <col min="4867" max="4867" width="63.6640625" style="490" customWidth="1"/>
    <col min="4868" max="4868" width="12.33203125" style="490" bestFit="1" customWidth="1"/>
    <col min="4869" max="4869" width="20.6640625" style="490" bestFit="1" customWidth="1"/>
    <col min="4870" max="4870" width="11.33203125" style="490" customWidth="1"/>
    <col min="4871" max="4871" width="14.6640625" style="490" customWidth="1"/>
    <col min="4872" max="4874" width="8.88671875" style="490"/>
    <col min="4875" max="4875" width="31.6640625" style="490" bestFit="1" customWidth="1"/>
    <col min="4876" max="4876" width="8.88671875" style="490"/>
    <col min="4877" max="4878" width="15.6640625" style="490" customWidth="1"/>
    <col min="4879" max="5120" width="8.88671875" style="490"/>
    <col min="5121" max="5121" width="12.33203125" style="490" customWidth="1"/>
    <col min="5122" max="5122" width="8.6640625" style="490" customWidth="1"/>
    <col min="5123" max="5123" width="63.6640625" style="490" customWidth="1"/>
    <col min="5124" max="5124" width="12.33203125" style="490" bestFit="1" customWidth="1"/>
    <col min="5125" max="5125" width="20.6640625" style="490" bestFit="1" customWidth="1"/>
    <col min="5126" max="5126" width="11.33203125" style="490" customWidth="1"/>
    <col min="5127" max="5127" width="14.6640625" style="490" customWidth="1"/>
    <col min="5128" max="5130" width="8.88671875" style="490"/>
    <col min="5131" max="5131" width="31.6640625" style="490" bestFit="1" customWidth="1"/>
    <col min="5132" max="5132" width="8.88671875" style="490"/>
    <col min="5133" max="5134" width="15.6640625" style="490" customWidth="1"/>
    <col min="5135" max="5376" width="8.88671875" style="490"/>
    <col min="5377" max="5377" width="12.33203125" style="490" customWidth="1"/>
    <col min="5378" max="5378" width="8.6640625" style="490" customWidth="1"/>
    <col min="5379" max="5379" width="63.6640625" style="490" customWidth="1"/>
    <col min="5380" max="5380" width="12.33203125" style="490" bestFit="1" customWidth="1"/>
    <col min="5381" max="5381" width="20.6640625" style="490" bestFit="1" customWidth="1"/>
    <col min="5382" max="5382" width="11.33203125" style="490" customWidth="1"/>
    <col min="5383" max="5383" width="14.6640625" style="490" customWidth="1"/>
    <col min="5384" max="5386" width="8.88671875" style="490"/>
    <col min="5387" max="5387" width="31.6640625" style="490" bestFit="1" customWidth="1"/>
    <col min="5388" max="5388" width="8.88671875" style="490"/>
    <col min="5389" max="5390" width="15.6640625" style="490" customWidth="1"/>
    <col min="5391" max="5632" width="8.88671875" style="490"/>
    <col min="5633" max="5633" width="12.33203125" style="490" customWidth="1"/>
    <col min="5634" max="5634" width="8.6640625" style="490" customWidth="1"/>
    <col min="5635" max="5635" width="63.6640625" style="490" customWidth="1"/>
    <col min="5636" max="5636" width="12.33203125" style="490" bestFit="1" customWidth="1"/>
    <col min="5637" max="5637" width="20.6640625" style="490" bestFit="1" customWidth="1"/>
    <col min="5638" max="5638" width="11.33203125" style="490" customWidth="1"/>
    <col min="5639" max="5639" width="14.6640625" style="490" customWidth="1"/>
    <col min="5640" max="5642" width="8.88671875" style="490"/>
    <col min="5643" max="5643" width="31.6640625" style="490" bestFit="1" customWidth="1"/>
    <col min="5644" max="5644" width="8.88671875" style="490"/>
    <col min="5645" max="5646" width="15.6640625" style="490" customWidth="1"/>
    <col min="5647" max="5888" width="8.88671875" style="490"/>
    <col min="5889" max="5889" width="12.33203125" style="490" customWidth="1"/>
    <col min="5890" max="5890" width="8.6640625" style="490" customWidth="1"/>
    <col min="5891" max="5891" width="63.6640625" style="490" customWidth="1"/>
    <col min="5892" max="5892" width="12.33203125" style="490" bestFit="1" customWidth="1"/>
    <col min="5893" max="5893" width="20.6640625" style="490" bestFit="1" customWidth="1"/>
    <col min="5894" max="5894" width="11.33203125" style="490" customWidth="1"/>
    <col min="5895" max="5895" width="14.6640625" style="490" customWidth="1"/>
    <col min="5896" max="5898" width="8.88671875" style="490"/>
    <col min="5899" max="5899" width="31.6640625" style="490" bestFit="1" customWidth="1"/>
    <col min="5900" max="5900" width="8.88671875" style="490"/>
    <col min="5901" max="5902" width="15.6640625" style="490" customWidth="1"/>
    <col min="5903" max="6144" width="8.88671875" style="490"/>
    <col min="6145" max="6145" width="12.33203125" style="490" customWidth="1"/>
    <col min="6146" max="6146" width="8.6640625" style="490" customWidth="1"/>
    <col min="6147" max="6147" width="63.6640625" style="490" customWidth="1"/>
    <col min="6148" max="6148" width="12.33203125" style="490" bestFit="1" customWidth="1"/>
    <col min="6149" max="6149" width="20.6640625" style="490" bestFit="1" customWidth="1"/>
    <col min="6150" max="6150" width="11.33203125" style="490" customWidth="1"/>
    <col min="6151" max="6151" width="14.6640625" style="490" customWidth="1"/>
    <col min="6152" max="6154" width="8.88671875" style="490"/>
    <col min="6155" max="6155" width="31.6640625" style="490" bestFit="1" customWidth="1"/>
    <col min="6156" max="6156" width="8.88671875" style="490"/>
    <col min="6157" max="6158" width="15.6640625" style="490" customWidth="1"/>
    <col min="6159" max="6400" width="8.88671875" style="490"/>
    <col min="6401" max="6401" width="12.33203125" style="490" customWidth="1"/>
    <col min="6402" max="6402" width="8.6640625" style="490" customWidth="1"/>
    <col min="6403" max="6403" width="63.6640625" style="490" customWidth="1"/>
    <col min="6404" max="6404" width="12.33203125" style="490" bestFit="1" customWidth="1"/>
    <col min="6405" max="6405" width="20.6640625" style="490" bestFit="1" customWidth="1"/>
    <col min="6406" max="6406" width="11.33203125" style="490" customWidth="1"/>
    <col min="6407" max="6407" width="14.6640625" style="490" customWidth="1"/>
    <col min="6408" max="6410" width="8.88671875" style="490"/>
    <col min="6411" max="6411" width="31.6640625" style="490" bestFit="1" customWidth="1"/>
    <col min="6412" max="6412" width="8.88671875" style="490"/>
    <col min="6413" max="6414" width="15.6640625" style="490" customWidth="1"/>
    <col min="6415" max="6656" width="8.88671875" style="490"/>
    <col min="6657" max="6657" width="12.33203125" style="490" customWidth="1"/>
    <col min="6658" max="6658" width="8.6640625" style="490" customWidth="1"/>
    <col min="6659" max="6659" width="63.6640625" style="490" customWidth="1"/>
    <col min="6660" max="6660" width="12.33203125" style="490" bestFit="1" customWidth="1"/>
    <col min="6661" max="6661" width="20.6640625" style="490" bestFit="1" customWidth="1"/>
    <col min="6662" max="6662" width="11.33203125" style="490" customWidth="1"/>
    <col min="6663" max="6663" width="14.6640625" style="490" customWidth="1"/>
    <col min="6664" max="6666" width="8.88671875" style="490"/>
    <col min="6667" max="6667" width="31.6640625" style="490" bestFit="1" customWidth="1"/>
    <col min="6668" max="6668" width="8.88671875" style="490"/>
    <col min="6669" max="6670" width="15.6640625" style="490" customWidth="1"/>
    <col min="6671" max="6912" width="8.88671875" style="490"/>
    <col min="6913" max="6913" width="12.33203125" style="490" customWidth="1"/>
    <col min="6914" max="6914" width="8.6640625" style="490" customWidth="1"/>
    <col min="6915" max="6915" width="63.6640625" style="490" customWidth="1"/>
    <col min="6916" max="6916" width="12.33203125" style="490" bestFit="1" customWidth="1"/>
    <col min="6917" max="6917" width="20.6640625" style="490" bestFit="1" customWidth="1"/>
    <col min="6918" max="6918" width="11.33203125" style="490" customWidth="1"/>
    <col min="6919" max="6919" width="14.6640625" style="490" customWidth="1"/>
    <col min="6920" max="6922" width="8.88671875" style="490"/>
    <col min="6923" max="6923" width="31.6640625" style="490" bestFit="1" customWidth="1"/>
    <col min="6924" max="6924" width="8.88671875" style="490"/>
    <col min="6925" max="6926" width="15.6640625" style="490" customWidth="1"/>
    <col min="6927" max="7168" width="8.88671875" style="490"/>
    <col min="7169" max="7169" width="12.33203125" style="490" customWidth="1"/>
    <col min="7170" max="7170" width="8.6640625" style="490" customWidth="1"/>
    <col min="7171" max="7171" width="63.6640625" style="490" customWidth="1"/>
    <col min="7172" max="7172" width="12.33203125" style="490" bestFit="1" customWidth="1"/>
    <col min="7173" max="7173" width="20.6640625" style="490" bestFit="1" customWidth="1"/>
    <col min="7174" max="7174" width="11.33203125" style="490" customWidth="1"/>
    <col min="7175" max="7175" width="14.6640625" style="490" customWidth="1"/>
    <col min="7176" max="7178" width="8.88671875" style="490"/>
    <col min="7179" max="7179" width="31.6640625" style="490" bestFit="1" customWidth="1"/>
    <col min="7180" max="7180" width="8.88671875" style="490"/>
    <col min="7181" max="7182" width="15.6640625" style="490" customWidth="1"/>
    <col min="7183" max="7424" width="8.88671875" style="490"/>
    <col min="7425" max="7425" width="12.33203125" style="490" customWidth="1"/>
    <col min="7426" max="7426" width="8.6640625" style="490" customWidth="1"/>
    <col min="7427" max="7427" width="63.6640625" style="490" customWidth="1"/>
    <col min="7428" max="7428" width="12.33203125" style="490" bestFit="1" customWidth="1"/>
    <col min="7429" max="7429" width="20.6640625" style="490" bestFit="1" customWidth="1"/>
    <col min="7430" max="7430" width="11.33203125" style="490" customWidth="1"/>
    <col min="7431" max="7431" width="14.6640625" style="490" customWidth="1"/>
    <col min="7432" max="7434" width="8.88671875" style="490"/>
    <col min="7435" max="7435" width="31.6640625" style="490" bestFit="1" customWidth="1"/>
    <col min="7436" max="7436" width="8.88671875" style="490"/>
    <col min="7437" max="7438" width="15.6640625" style="490" customWidth="1"/>
    <col min="7439" max="7680" width="8.88671875" style="490"/>
    <col min="7681" max="7681" width="12.33203125" style="490" customWidth="1"/>
    <col min="7682" max="7682" width="8.6640625" style="490" customWidth="1"/>
    <col min="7683" max="7683" width="63.6640625" style="490" customWidth="1"/>
    <col min="7684" max="7684" width="12.33203125" style="490" bestFit="1" customWidth="1"/>
    <col min="7685" max="7685" width="20.6640625" style="490" bestFit="1" customWidth="1"/>
    <col min="7686" max="7686" width="11.33203125" style="490" customWidth="1"/>
    <col min="7687" max="7687" width="14.6640625" style="490" customWidth="1"/>
    <col min="7688" max="7690" width="8.88671875" style="490"/>
    <col min="7691" max="7691" width="31.6640625" style="490" bestFit="1" customWidth="1"/>
    <col min="7692" max="7692" width="8.88671875" style="490"/>
    <col min="7693" max="7694" width="15.6640625" style="490" customWidth="1"/>
    <col min="7695" max="7936" width="8.88671875" style="490"/>
    <col min="7937" max="7937" width="12.33203125" style="490" customWidth="1"/>
    <col min="7938" max="7938" width="8.6640625" style="490" customWidth="1"/>
    <col min="7939" max="7939" width="63.6640625" style="490" customWidth="1"/>
    <col min="7940" max="7940" width="12.33203125" style="490" bestFit="1" customWidth="1"/>
    <col min="7941" max="7941" width="20.6640625" style="490" bestFit="1" customWidth="1"/>
    <col min="7942" max="7942" width="11.33203125" style="490" customWidth="1"/>
    <col min="7943" max="7943" width="14.6640625" style="490" customWidth="1"/>
    <col min="7944" max="7946" width="8.88671875" style="490"/>
    <col min="7947" max="7947" width="31.6640625" style="490" bestFit="1" customWidth="1"/>
    <col min="7948" max="7948" width="8.88671875" style="490"/>
    <col min="7949" max="7950" width="15.6640625" style="490" customWidth="1"/>
    <col min="7951" max="8192" width="8.88671875" style="490"/>
    <col min="8193" max="8193" width="12.33203125" style="490" customWidth="1"/>
    <col min="8194" max="8194" width="8.6640625" style="490" customWidth="1"/>
    <col min="8195" max="8195" width="63.6640625" style="490" customWidth="1"/>
    <col min="8196" max="8196" width="12.33203125" style="490" bestFit="1" customWidth="1"/>
    <col min="8197" max="8197" width="20.6640625" style="490" bestFit="1" customWidth="1"/>
    <col min="8198" max="8198" width="11.33203125" style="490" customWidth="1"/>
    <col min="8199" max="8199" width="14.6640625" style="490" customWidth="1"/>
    <col min="8200" max="8202" width="8.88671875" style="490"/>
    <col min="8203" max="8203" width="31.6640625" style="490" bestFit="1" customWidth="1"/>
    <col min="8204" max="8204" width="8.88671875" style="490"/>
    <col min="8205" max="8206" width="15.6640625" style="490" customWidth="1"/>
    <col min="8207" max="8448" width="8.88671875" style="490"/>
    <col min="8449" max="8449" width="12.33203125" style="490" customWidth="1"/>
    <col min="8450" max="8450" width="8.6640625" style="490" customWidth="1"/>
    <col min="8451" max="8451" width="63.6640625" style="490" customWidth="1"/>
    <col min="8452" max="8452" width="12.33203125" style="490" bestFit="1" customWidth="1"/>
    <col min="8453" max="8453" width="20.6640625" style="490" bestFit="1" customWidth="1"/>
    <col min="8454" max="8454" width="11.33203125" style="490" customWidth="1"/>
    <col min="8455" max="8455" width="14.6640625" style="490" customWidth="1"/>
    <col min="8456" max="8458" width="8.88671875" style="490"/>
    <col min="8459" max="8459" width="31.6640625" style="490" bestFit="1" customWidth="1"/>
    <col min="8460" max="8460" width="8.88671875" style="490"/>
    <col min="8461" max="8462" width="15.6640625" style="490" customWidth="1"/>
    <col min="8463" max="8704" width="8.88671875" style="490"/>
    <col min="8705" max="8705" width="12.33203125" style="490" customWidth="1"/>
    <col min="8706" max="8706" width="8.6640625" style="490" customWidth="1"/>
    <col min="8707" max="8707" width="63.6640625" style="490" customWidth="1"/>
    <col min="8708" max="8708" width="12.33203125" style="490" bestFit="1" customWidth="1"/>
    <col min="8709" max="8709" width="20.6640625" style="490" bestFit="1" customWidth="1"/>
    <col min="8710" max="8710" width="11.33203125" style="490" customWidth="1"/>
    <col min="8711" max="8711" width="14.6640625" style="490" customWidth="1"/>
    <col min="8712" max="8714" width="8.88671875" style="490"/>
    <col min="8715" max="8715" width="31.6640625" style="490" bestFit="1" customWidth="1"/>
    <col min="8716" max="8716" width="8.88671875" style="490"/>
    <col min="8717" max="8718" width="15.6640625" style="490" customWidth="1"/>
    <col min="8719" max="8960" width="8.88671875" style="490"/>
    <col min="8961" max="8961" width="12.33203125" style="490" customWidth="1"/>
    <col min="8962" max="8962" width="8.6640625" style="490" customWidth="1"/>
    <col min="8963" max="8963" width="63.6640625" style="490" customWidth="1"/>
    <col min="8964" max="8964" width="12.33203125" style="490" bestFit="1" customWidth="1"/>
    <col min="8965" max="8965" width="20.6640625" style="490" bestFit="1" customWidth="1"/>
    <col min="8966" max="8966" width="11.33203125" style="490" customWidth="1"/>
    <col min="8967" max="8967" width="14.6640625" style="490" customWidth="1"/>
    <col min="8968" max="8970" width="8.88671875" style="490"/>
    <col min="8971" max="8971" width="31.6640625" style="490" bestFit="1" customWidth="1"/>
    <col min="8972" max="8972" width="8.88671875" style="490"/>
    <col min="8973" max="8974" width="15.6640625" style="490" customWidth="1"/>
    <col min="8975" max="9216" width="8.88671875" style="490"/>
    <col min="9217" max="9217" width="12.33203125" style="490" customWidth="1"/>
    <col min="9218" max="9218" width="8.6640625" style="490" customWidth="1"/>
    <col min="9219" max="9219" width="63.6640625" style="490" customWidth="1"/>
    <col min="9220" max="9220" width="12.33203125" style="490" bestFit="1" customWidth="1"/>
    <col min="9221" max="9221" width="20.6640625" style="490" bestFit="1" customWidth="1"/>
    <col min="9222" max="9222" width="11.33203125" style="490" customWidth="1"/>
    <col min="9223" max="9223" width="14.6640625" style="490" customWidth="1"/>
    <col min="9224" max="9226" width="8.88671875" style="490"/>
    <col min="9227" max="9227" width="31.6640625" style="490" bestFit="1" customWidth="1"/>
    <col min="9228" max="9228" width="8.88671875" style="490"/>
    <col min="9229" max="9230" width="15.6640625" style="490" customWidth="1"/>
    <col min="9231" max="9472" width="8.88671875" style="490"/>
    <col min="9473" max="9473" width="12.33203125" style="490" customWidth="1"/>
    <col min="9474" max="9474" width="8.6640625" style="490" customWidth="1"/>
    <col min="9475" max="9475" width="63.6640625" style="490" customWidth="1"/>
    <col min="9476" max="9476" width="12.33203125" style="490" bestFit="1" customWidth="1"/>
    <col min="9477" max="9477" width="20.6640625" style="490" bestFit="1" customWidth="1"/>
    <col min="9478" max="9478" width="11.33203125" style="490" customWidth="1"/>
    <col min="9479" max="9479" width="14.6640625" style="490" customWidth="1"/>
    <col min="9480" max="9482" width="8.88671875" style="490"/>
    <col min="9483" max="9483" width="31.6640625" style="490" bestFit="1" customWidth="1"/>
    <col min="9484" max="9484" width="8.88671875" style="490"/>
    <col min="9485" max="9486" width="15.6640625" style="490" customWidth="1"/>
    <col min="9487" max="9728" width="8.88671875" style="490"/>
    <col min="9729" max="9729" width="12.33203125" style="490" customWidth="1"/>
    <col min="9730" max="9730" width="8.6640625" style="490" customWidth="1"/>
    <col min="9731" max="9731" width="63.6640625" style="490" customWidth="1"/>
    <col min="9732" max="9732" width="12.33203125" style="490" bestFit="1" customWidth="1"/>
    <col min="9733" max="9733" width="20.6640625" style="490" bestFit="1" customWidth="1"/>
    <col min="9734" max="9734" width="11.33203125" style="490" customWidth="1"/>
    <col min="9735" max="9735" width="14.6640625" style="490" customWidth="1"/>
    <col min="9736" max="9738" width="8.88671875" style="490"/>
    <col min="9739" max="9739" width="31.6640625" style="490" bestFit="1" customWidth="1"/>
    <col min="9740" max="9740" width="8.88671875" style="490"/>
    <col min="9741" max="9742" width="15.6640625" style="490" customWidth="1"/>
    <col min="9743" max="9984" width="8.88671875" style="490"/>
    <col min="9985" max="9985" width="12.33203125" style="490" customWidth="1"/>
    <col min="9986" max="9986" width="8.6640625" style="490" customWidth="1"/>
    <col min="9987" max="9987" width="63.6640625" style="490" customWidth="1"/>
    <col min="9988" max="9988" width="12.33203125" style="490" bestFit="1" customWidth="1"/>
    <col min="9989" max="9989" width="20.6640625" style="490" bestFit="1" customWidth="1"/>
    <col min="9990" max="9990" width="11.33203125" style="490" customWidth="1"/>
    <col min="9991" max="9991" width="14.6640625" style="490" customWidth="1"/>
    <col min="9992" max="9994" width="8.88671875" style="490"/>
    <col min="9995" max="9995" width="31.6640625" style="490" bestFit="1" customWidth="1"/>
    <col min="9996" max="9996" width="8.88671875" style="490"/>
    <col min="9997" max="9998" width="15.6640625" style="490" customWidth="1"/>
    <col min="9999" max="10240" width="8.88671875" style="490"/>
    <col min="10241" max="10241" width="12.33203125" style="490" customWidth="1"/>
    <col min="10242" max="10242" width="8.6640625" style="490" customWidth="1"/>
    <col min="10243" max="10243" width="63.6640625" style="490" customWidth="1"/>
    <col min="10244" max="10244" width="12.33203125" style="490" bestFit="1" customWidth="1"/>
    <col min="10245" max="10245" width="20.6640625" style="490" bestFit="1" customWidth="1"/>
    <col min="10246" max="10246" width="11.33203125" style="490" customWidth="1"/>
    <col min="10247" max="10247" width="14.6640625" style="490" customWidth="1"/>
    <col min="10248" max="10250" width="8.88671875" style="490"/>
    <col min="10251" max="10251" width="31.6640625" style="490" bestFit="1" customWidth="1"/>
    <col min="10252" max="10252" width="8.88671875" style="490"/>
    <col min="10253" max="10254" width="15.6640625" style="490" customWidth="1"/>
    <col min="10255" max="10496" width="8.88671875" style="490"/>
    <col min="10497" max="10497" width="12.33203125" style="490" customWidth="1"/>
    <col min="10498" max="10498" width="8.6640625" style="490" customWidth="1"/>
    <col min="10499" max="10499" width="63.6640625" style="490" customWidth="1"/>
    <col min="10500" max="10500" width="12.33203125" style="490" bestFit="1" customWidth="1"/>
    <col min="10501" max="10501" width="20.6640625" style="490" bestFit="1" customWidth="1"/>
    <col min="10502" max="10502" width="11.33203125" style="490" customWidth="1"/>
    <col min="10503" max="10503" width="14.6640625" style="490" customWidth="1"/>
    <col min="10504" max="10506" width="8.88671875" style="490"/>
    <col min="10507" max="10507" width="31.6640625" style="490" bestFit="1" customWidth="1"/>
    <col min="10508" max="10508" width="8.88671875" style="490"/>
    <col min="10509" max="10510" width="15.6640625" style="490" customWidth="1"/>
    <col min="10511" max="10752" width="8.88671875" style="490"/>
    <col min="10753" max="10753" width="12.33203125" style="490" customWidth="1"/>
    <col min="10754" max="10754" width="8.6640625" style="490" customWidth="1"/>
    <col min="10755" max="10755" width="63.6640625" style="490" customWidth="1"/>
    <col min="10756" max="10756" width="12.33203125" style="490" bestFit="1" customWidth="1"/>
    <col min="10757" max="10757" width="20.6640625" style="490" bestFit="1" customWidth="1"/>
    <col min="10758" max="10758" width="11.33203125" style="490" customWidth="1"/>
    <col min="10759" max="10759" width="14.6640625" style="490" customWidth="1"/>
    <col min="10760" max="10762" width="8.88671875" style="490"/>
    <col min="10763" max="10763" width="31.6640625" style="490" bestFit="1" customWidth="1"/>
    <col min="10764" max="10764" width="8.88671875" style="490"/>
    <col min="10765" max="10766" width="15.6640625" style="490" customWidth="1"/>
    <col min="10767" max="11008" width="8.88671875" style="490"/>
    <col min="11009" max="11009" width="12.33203125" style="490" customWidth="1"/>
    <col min="11010" max="11010" width="8.6640625" style="490" customWidth="1"/>
    <col min="11011" max="11011" width="63.6640625" style="490" customWidth="1"/>
    <col min="11012" max="11012" width="12.33203125" style="490" bestFit="1" customWidth="1"/>
    <col min="11013" max="11013" width="20.6640625" style="490" bestFit="1" customWidth="1"/>
    <col min="11014" max="11014" width="11.33203125" style="490" customWidth="1"/>
    <col min="11015" max="11015" width="14.6640625" style="490" customWidth="1"/>
    <col min="11016" max="11018" width="8.88671875" style="490"/>
    <col min="11019" max="11019" width="31.6640625" style="490" bestFit="1" customWidth="1"/>
    <col min="11020" max="11020" width="8.88671875" style="490"/>
    <col min="11021" max="11022" width="15.6640625" style="490" customWidth="1"/>
    <col min="11023" max="11264" width="8.88671875" style="490"/>
    <col min="11265" max="11265" width="12.33203125" style="490" customWidth="1"/>
    <col min="11266" max="11266" width="8.6640625" style="490" customWidth="1"/>
    <col min="11267" max="11267" width="63.6640625" style="490" customWidth="1"/>
    <col min="11268" max="11268" width="12.33203125" style="490" bestFit="1" customWidth="1"/>
    <col min="11269" max="11269" width="20.6640625" style="490" bestFit="1" customWidth="1"/>
    <col min="11270" max="11270" width="11.33203125" style="490" customWidth="1"/>
    <col min="11271" max="11271" width="14.6640625" style="490" customWidth="1"/>
    <col min="11272" max="11274" width="8.88671875" style="490"/>
    <col min="11275" max="11275" width="31.6640625" style="490" bestFit="1" customWidth="1"/>
    <col min="11276" max="11276" width="8.88671875" style="490"/>
    <col min="11277" max="11278" width="15.6640625" style="490" customWidth="1"/>
    <col min="11279" max="11520" width="8.88671875" style="490"/>
    <col min="11521" max="11521" width="12.33203125" style="490" customWidth="1"/>
    <col min="11522" max="11522" width="8.6640625" style="490" customWidth="1"/>
    <col min="11523" max="11523" width="63.6640625" style="490" customWidth="1"/>
    <col min="11524" max="11524" width="12.33203125" style="490" bestFit="1" customWidth="1"/>
    <col min="11525" max="11525" width="20.6640625" style="490" bestFit="1" customWidth="1"/>
    <col min="11526" max="11526" width="11.33203125" style="490" customWidth="1"/>
    <col min="11527" max="11527" width="14.6640625" style="490" customWidth="1"/>
    <col min="11528" max="11530" width="8.88671875" style="490"/>
    <col min="11531" max="11531" width="31.6640625" style="490" bestFit="1" customWidth="1"/>
    <col min="11532" max="11532" width="8.88671875" style="490"/>
    <col min="11533" max="11534" width="15.6640625" style="490" customWidth="1"/>
    <col min="11535" max="11776" width="8.88671875" style="490"/>
    <col min="11777" max="11777" width="12.33203125" style="490" customWidth="1"/>
    <col min="11778" max="11778" width="8.6640625" style="490" customWidth="1"/>
    <col min="11779" max="11779" width="63.6640625" style="490" customWidth="1"/>
    <col min="11780" max="11780" width="12.33203125" style="490" bestFit="1" customWidth="1"/>
    <col min="11781" max="11781" width="20.6640625" style="490" bestFit="1" customWidth="1"/>
    <col min="11782" max="11782" width="11.33203125" style="490" customWidth="1"/>
    <col min="11783" max="11783" width="14.6640625" style="490" customWidth="1"/>
    <col min="11784" max="11786" width="8.88671875" style="490"/>
    <col min="11787" max="11787" width="31.6640625" style="490" bestFit="1" customWidth="1"/>
    <col min="11788" max="11788" width="8.88671875" style="490"/>
    <col min="11789" max="11790" width="15.6640625" style="490" customWidth="1"/>
    <col min="11791" max="12032" width="8.88671875" style="490"/>
    <col min="12033" max="12033" width="12.33203125" style="490" customWidth="1"/>
    <col min="12034" max="12034" width="8.6640625" style="490" customWidth="1"/>
    <col min="12035" max="12035" width="63.6640625" style="490" customWidth="1"/>
    <col min="12036" max="12036" width="12.33203125" style="490" bestFit="1" customWidth="1"/>
    <col min="12037" max="12037" width="20.6640625" style="490" bestFit="1" customWidth="1"/>
    <col min="12038" max="12038" width="11.33203125" style="490" customWidth="1"/>
    <col min="12039" max="12039" width="14.6640625" style="490" customWidth="1"/>
    <col min="12040" max="12042" width="8.88671875" style="490"/>
    <col min="12043" max="12043" width="31.6640625" style="490" bestFit="1" customWidth="1"/>
    <col min="12044" max="12044" width="8.88671875" style="490"/>
    <col min="12045" max="12046" width="15.6640625" style="490" customWidth="1"/>
    <col min="12047" max="12288" width="8.88671875" style="490"/>
    <col min="12289" max="12289" width="12.33203125" style="490" customWidth="1"/>
    <col min="12290" max="12290" width="8.6640625" style="490" customWidth="1"/>
    <col min="12291" max="12291" width="63.6640625" style="490" customWidth="1"/>
    <col min="12292" max="12292" width="12.33203125" style="490" bestFit="1" customWidth="1"/>
    <col min="12293" max="12293" width="20.6640625" style="490" bestFit="1" customWidth="1"/>
    <col min="12294" max="12294" width="11.33203125" style="490" customWidth="1"/>
    <col min="12295" max="12295" width="14.6640625" style="490" customWidth="1"/>
    <col min="12296" max="12298" width="8.88671875" style="490"/>
    <col min="12299" max="12299" width="31.6640625" style="490" bestFit="1" customWidth="1"/>
    <col min="12300" max="12300" width="8.88671875" style="490"/>
    <col min="12301" max="12302" width="15.6640625" style="490" customWidth="1"/>
    <col min="12303" max="12544" width="8.88671875" style="490"/>
    <col min="12545" max="12545" width="12.33203125" style="490" customWidth="1"/>
    <col min="12546" max="12546" width="8.6640625" style="490" customWidth="1"/>
    <col min="12547" max="12547" width="63.6640625" style="490" customWidth="1"/>
    <col min="12548" max="12548" width="12.33203125" style="490" bestFit="1" customWidth="1"/>
    <col min="12549" max="12549" width="20.6640625" style="490" bestFit="1" customWidth="1"/>
    <col min="12550" max="12550" width="11.33203125" style="490" customWidth="1"/>
    <col min="12551" max="12551" width="14.6640625" style="490" customWidth="1"/>
    <col min="12552" max="12554" width="8.88671875" style="490"/>
    <col min="12555" max="12555" width="31.6640625" style="490" bestFit="1" customWidth="1"/>
    <col min="12556" max="12556" width="8.88671875" style="490"/>
    <col min="12557" max="12558" width="15.6640625" style="490" customWidth="1"/>
    <col min="12559" max="12800" width="8.88671875" style="490"/>
    <col min="12801" max="12801" width="12.33203125" style="490" customWidth="1"/>
    <col min="12802" max="12802" width="8.6640625" style="490" customWidth="1"/>
    <col min="12803" max="12803" width="63.6640625" style="490" customWidth="1"/>
    <col min="12804" max="12804" width="12.33203125" style="490" bestFit="1" customWidth="1"/>
    <col min="12805" max="12805" width="20.6640625" style="490" bestFit="1" customWidth="1"/>
    <col min="12806" max="12806" width="11.33203125" style="490" customWidth="1"/>
    <col min="12807" max="12807" width="14.6640625" style="490" customWidth="1"/>
    <col min="12808" max="12810" width="8.88671875" style="490"/>
    <col min="12811" max="12811" width="31.6640625" style="490" bestFit="1" customWidth="1"/>
    <col min="12812" max="12812" width="8.88671875" style="490"/>
    <col min="12813" max="12814" width="15.6640625" style="490" customWidth="1"/>
    <col min="12815" max="13056" width="8.88671875" style="490"/>
    <col min="13057" max="13057" width="12.33203125" style="490" customWidth="1"/>
    <col min="13058" max="13058" width="8.6640625" style="490" customWidth="1"/>
    <col min="13059" max="13059" width="63.6640625" style="490" customWidth="1"/>
    <col min="13060" max="13060" width="12.33203125" style="490" bestFit="1" customWidth="1"/>
    <col min="13061" max="13061" width="20.6640625" style="490" bestFit="1" customWidth="1"/>
    <col min="13062" max="13062" width="11.33203125" style="490" customWidth="1"/>
    <col min="13063" max="13063" width="14.6640625" style="490" customWidth="1"/>
    <col min="13064" max="13066" width="8.88671875" style="490"/>
    <col min="13067" max="13067" width="31.6640625" style="490" bestFit="1" customWidth="1"/>
    <col min="13068" max="13068" width="8.88671875" style="490"/>
    <col min="13069" max="13070" width="15.6640625" style="490" customWidth="1"/>
    <col min="13071" max="13312" width="8.88671875" style="490"/>
    <col min="13313" max="13313" width="12.33203125" style="490" customWidth="1"/>
    <col min="13314" max="13314" width="8.6640625" style="490" customWidth="1"/>
    <col min="13315" max="13315" width="63.6640625" style="490" customWidth="1"/>
    <col min="13316" max="13316" width="12.33203125" style="490" bestFit="1" customWidth="1"/>
    <col min="13317" max="13317" width="20.6640625" style="490" bestFit="1" customWidth="1"/>
    <col min="13318" max="13318" width="11.33203125" style="490" customWidth="1"/>
    <col min="13319" max="13319" width="14.6640625" style="490" customWidth="1"/>
    <col min="13320" max="13322" width="8.88671875" style="490"/>
    <col min="13323" max="13323" width="31.6640625" style="490" bestFit="1" customWidth="1"/>
    <col min="13324" max="13324" width="8.88671875" style="490"/>
    <col min="13325" max="13326" width="15.6640625" style="490" customWidth="1"/>
    <col min="13327" max="13568" width="8.88671875" style="490"/>
    <col min="13569" max="13569" width="12.33203125" style="490" customWidth="1"/>
    <col min="13570" max="13570" width="8.6640625" style="490" customWidth="1"/>
    <col min="13571" max="13571" width="63.6640625" style="490" customWidth="1"/>
    <col min="13572" max="13572" width="12.33203125" style="490" bestFit="1" customWidth="1"/>
    <col min="13573" max="13573" width="20.6640625" style="490" bestFit="1" customWidth="1"/>
    <col min="13574" max="13574" width="11.33203125" style="490" customWidth="1"/>
    <col min="13575" max="13575" width="14.6640625" style="490" customWidth="1"/>
    <col min="13576" max="13578" width="8.88671875" style="490"/>
    <col min="13579" max="13579" width="31.6640625" style="490" bestFit="1" customWidth="1"/>
    <col min="13580" max="13580" width="8.88671875" style="490"/>
    <col min="13581" max="13582" width="15.6640625" style="490" customWidth="1"/>
    <col min="13583" max="13824" width="8.88671875" style="490"/>
    <col min="13825" max="13825" width="12.33203125" style="490" customWidth="1"/>
    <col min="13826" max="13826" width="8.6640625" style="490" customWidth="1"/>
    <col min="13827" max="13827" width="63.6640625" style="490" customWidth="1"/>
    <col min="13828" max="13828" width="12.33203125" style="490" bestFit="1" customWidth="1"/>
    <col min="13829" max="13829" width="20.6640625" style="490" bestFit="1" customWidth="1"/>
    <col min="13830" max="13830" width="11.33203125" style="490" customWidth="1"/>
    <col min="13831" max="13831" width="14.6640625" style="490" customWidth="1"/>
    <col min="13832" max="13834" width="8.88671875" style="490"/>
    <col min="13835" max="13835" width="31.6640625" style="490" bestFit="1" customWidth="1"/>
    <col min="13836" max="13836" width="8.88671875" style="490"/>
    <col min="13837" max="13838" width="15.6640625" style="490" customWidth="1"/>
    <col min="13839" max="14080" width="8.88671875" style="490"/>
    <col min="14081" max="14081" width="12.33203125" style="490" customWidth="1"/>
    <col min="14082" max="14082" width="8.6640625" style="490" customWidth="1"/>
    <col min="14083" max="14083" width="63.6640625" style="490" customWidth="1"/>
    <col min="14084" max="14084" width="12.33203125" style="490" bestFit="1" customWidth="1"/>
    <col min="14085" max="14085" width="20.6640625" style="490" bestFit="1" customWidth="1"/>
    <col min="14086" max="14086" width="11.33203125" style="490" customWidth="1"/>
    <col min="14087" max="14087" width="14.6640625" style="490" customWidth="1"/>
    <col min="14088" max="14090" width="8.88671875" style="490"/>
    <col min="14091" max="14091" width="31.6640625" style="490" bestFit="1" customWidth="1"/>
    <col min="14092" max="14092" width="8.88671875" style="490"/>
    <col min="14093" max="14094" width="15.6640625" style="490" customWidth="1"/>
    <col min="14095" max="14336" width="8.88671875" style="490"/>
    <col min="14337" max="14337" width="12.33203125" style="490" customWidth="1"/>
    <col min="14338" max="14338" width="8.6640625" style="490" customWidth="1"/>
    <col min="14339" max="14339" width="63.6640625" style="490" customWidth="1"/>
    <col min="14340" max="14340" width="12.33203125" style="490" bestFit="1" customWidth="1"/>
    <col min="14341" max="14341" width="20.6640625" style="490" bestFit="1" customWidth="1"/>
    <col min="14342" max="14342" width="11.33203125" style="490" customWidth="1"/>
    <col min="14343" max="14343" width="14.6640625" style="490" customWidth="1"/>
    <col min="14344" max="14346" width="8.88671875" style="490"/>
    <col min="14347" max="14347" width="31.6640625" style="490" bestFit="1" customWidth="1"/>
    <col min="14348" max="14348" width="8.88671875" style="490"/>
    <col min="14349" max="14350" width="15.6640625" style="490" customWidth="1"/>
    <col min="14351" max="14592" width="8.88671875" style="490"/>
    <col min="14593" max="14593" width="12.33203125" style="490" customWidth="1"/>
    <col min="14594" max="14594" width="8.6640625" style="490" customWidth="1"/>
    <col min="14595" max="14595" width="63.6640625" style="490" customWidth="1"/>
    <col min="14596" max="14596" width="12.33203125" style="490" bestFit="1" customWidth="1"/>
    <col min="14597" max="14597" width="20.6640625" style="490" bestFit="1" customWidth="1"/>
    <col min="14598" max="14598" width="11.33203125" style="490" customWidth="1"/>
    <col min="14599" max="14599" width="14.6640625" style="490" customWidth="1"/>
    <col min="14600" max="14602" width="8.88671875" style="490"/>
    <col min="14603" max="14603" width="31.6640625" style="490" bestFit="1" customWidth="1"/>
    <col min="14604" max="14604" width="8.88671875" style="490"/>
    <col min="14605" max="14606" width="15.6640625" style="490" customWidth="1"/>
    <col min="14607" max="14848" width="8.88671875" style="490"/>
    <col min="14849" max="14849" width="12.33203125" style="490" customWidth="1"/>
    <col min="14850" max="14850" width="8.6640625" style="490" customWidth="1"/>
    <col min="14851" max="14851" width="63.6640625" style="490" customWidth="1"/>
    <col min="14852" max="14852" width="12.33203125" style="490" bestFit="1" customWidth="1"/>
    <col min="14853" max="14853" width="20.6640625" style="490" bestFit="1" customWidth="1"/>
    <col min="14854" max="14854" width="11.33203125" style="490" customWidth="1"/>
    <col min="14855" max="14855" width="14.6640625" style="490" customWidth="1"/>
    <col min="14856" max="14858" width="8.88671875" style="490"/>
    <col min="14859" max="14859" width="31.6640625" style="490" bestFit="1" customWidth="1"/>
    <col min="14860" max="14860" width="8.88671875" style="490"/>
    <col min="14861" max="14862" width="15.6640625" style="490" customWidth="1"/>
    <col min="14863" max="15104" width="8.88671875" style="490"/>
    <col min="15105" max="15105" width="12.33203125" style="490" customWidth="1"/>
    <col min="15106" max="15106" width="8.6640625" style="490" customWidth="1"/>
    <col min="15107" max="15107" width="63.6640625" style="490" customWidth="1"/>
    <col min="15108" max="15108" width="12.33203125" style="490" bestFit="1" customWidth="1"/>
    <col min="15109" max="15109" width="20.6640625" style="490" bestFit="1" customWidth="1"/>
    <col min="15110" max="15110" width="11.33203125" style="490" customWidth="1"/>
    <col min="15111" max="15111" width="14.6640625" style="490" customWidth="1"/>
    <col min="15112" max="15114" width="8.88671875" style="490"/>
    <col min="15115" max="15115" width="31.6640625" style="490" bestFit="1" customWidth="1"/>
    <col min="15116" max="15116" width="8.88671875" style="490"/>
    <col min="15117" max="15118" width="15.6640625" style="490" customWidth="1"/>
    <col min="15119" max="15360" width="8.88671875" style="490"/>
    <col min="15361" max="15361" width="12.33203125" style="490" customWidth="1"/>
    <col min="15362" max="15362" width="8.6640625" style="490" customWidth="1"/>
    <col min="15363" max="15363" width="63.6640625" style="490" customWidth="1"/>
    <col min="15364" max="15364" width="12.33203125" style="490" bestFit="1" customWidth="1"/>
    <col min="15365" max="15365" width="20.6640625" style="490" bestFit="1" customWidth="1"/>
    <col min="15366" max="15366" width="11.33203125" style="490" customWidth="1"/>
    <col min="15367" max="15367" width="14.6640625" style="490" customWidth="1"/>
    <col min="15368" max="15370" width="8.88671875" style="490"/>
    <col min="15371" max="15371" width="31.6640625" style="490" bestFit="1" customWidth="1"/>
    <col min="15372" max="15372" width="8.88671875" style="490"/>
    <col min="15373" max="15374" width="15.6640625" style="490" customWidth="1"/>
    <col min="15375" max="15616" width="8.88671875" style="490"/>
    <col min="15617" max="15617" width="12.33203125" style="490" customWidth="1"/>
    <col min="15618" max="15618" width="8.6640625" style="490" customWidth="1"/>
    <col min="15619" max="15619" width="63.6640625" style="490" customWidth="1"/>
    <col min="15620" max="15620" width="12.33203125" style="490" bestFit="1" customWidth="1"/>
    <col min="15621" max="15621" width="20.6640625" style="490" bestFit="1" customWidth="1"/>
    <col min="15622" max="15622" width="11.33203125" style="490" customWidth="1"/>
    <col min="15623" max="15623" width="14.6640625" style="490" customWidth="1"/>
    <col min="15624" max="15626" width="8.88671875" style="490"/>
    <col min="15627" max="15627" width="31.6640625" style="490" bestFit="1" customWidth="1"/>
    <col min="15628" max="15628" width="8.88671875" style="490"/>
    <col min="15629" max="15630" width="15.6640625" style="490" customWidth="1"/>
    <col min="15631" max="15872" width="8.88671875" style="490"/>
    <col min="15873" max="15873" width="12.33203125" style="490" customWidth="1"/>
    <col min="15874" max="15874" width="8.6640625" style="490" customWidth="1"/>
    <col min="15875" max="15875" width="63.6640625" style="490" customWidth="1"/>
    <col min="15876" max="15876" width="12.33203125" style="490" bestFit="1" customWidth="1"/>
    <col min="15877" max="15877" width="20.6640625" style="490" bestFit="1" customWidth="1"/>
    <col min="15878" max="15878" width="11.33203125" style="490" customWidth="1"/>
    <col min="15879" max="15879" width="14.6640625" style="490" customWidth="1"/>
    <col min="15880" max="15882" width="8.88671875" style="490"/>
    <col min="15883" max="15883" width="31.6640625" style="490" bestFit="1" customWidth="1"/>
    <col min="15884" max="15884" width="8.88671875" style="490"/>
    <col min="15885" max="15886" width="15.6640625" style="490" customWidth="1"/>
    <col min="15887" max="16128" width="8.88671875" style="490"/>
    <col min="16129" max="16129" width="12.33203125" style="490" customWidth="1"/>
    <col min="16130" max="16130" width="8.6640625" style="490" customWidth="1"/>
    <col min="16131" max="16131" width="63.6640625" style="490" customWidth="1"/>
    <col min="16132" max="16132" width="12.33203125" style="490" bestFit="1" customWidth="1"/>
    <col min="16133" max="16133" width="20.6640625" style="490" bestFit="1" customWidth="1"/>
    <col min="16134" max="16134" width="11.33203125" style="490" customWidth="1"/>
    <col min="16135" max="16135" width="14.6640625" style="490" customWidth="1"/>
    <col min="16136" max="16138" width="8.88671875" style="490"/>
    <col min="16139" max="16139" width="31.6640625" style="490" bestFit="1" customWidth="1"/>
    <col min="16140" max="16140" width="8.88671875" style="490"/>
    <col min="16141" max="16142" width="15.6640625" style="490" customWidth="1"/>
    <col min="16143" max="16384" width="8.88671875" style="490"/>
  </cols>
  <sheetData>
    <row r="3" spans="2:18" x14ac:dyDescent="0.3">
      <c r="B3" s="493" t="s">
        <v>2077</v>
      </c>
      <c r="C3" s="495" t="str">
        <f>+'BS PL CFL'!B2</f>
        <v>Arunjyoti Bio Ventures Limited</v>
      </c>
      <c r="D3" s="495" t="s">
        <v>2075</v>
      </c>
      <c r="E3" s="495" t="s">
        <v>1344</v>
      </c>
      <c r="F3" s="490"/>
      <c r="G3" s="496"/>
      <c r="H3" s="496"/>
      <c r="I3" s="494"/>
    </row>
    <row r="4" spans="2:18" x14ac:dyDescent="0.3">
      <c r="B4" s="493" t="s">
        <v>2078</v>
      </c>
      <c r="C4" s="1869" t="s">
        <v>2287</v>
      </c>
      <c r="D4" s="495" t="s">
        <v>2076</v>
      </c>
      <c r="E4" s="1185">
        <v>35562</v>
      </c>
      <c r="F4" s="532"/>
      <c r="G4" s="496"/>
      <c r="H4" s="496"/>
      <c r="I4" s="494"/>
    </row>
    <row r="5" spans="2:18" x14ac:dyDescent="0.3">
      <c r="B5" s="493"/>
      <c r="C5" s="1869" t="s">
        <v>2288</v>
      </c>
      <c r="D5" s="495"/>
      <c r="E5" s="495"/>
      <c r="F5" s="532"/>
      <c r="G5" s="496"/>
      <c r="H5" s="496"/>
      <c r="I5" s="494"/>
    </row>
    <row r="6" spans="2:18" x14ac:dyDescent="0.3">
      <c r="B6" s="493"/>
      <c r="C6" s="494"/>
      <c r="D6" s="495"/>
      <c r="E6" s="496"/>
      <c r="F6" s="532"/>
      <c r="G6" s="496"/>
      <c r="H6" s="496"/>
      <c r="I6" s="494"/>
    </row>
    <row r="7" spans="2:18" x14ac:dyDescent="0.3">
      <c r="B7" s="493"/>
      <c r="C7" s="494"/>
      <c r="D7" s="495" t="s">
        <v>1345</v>
      </c>
      <c r="E7" s="495" t="s">
        <v>2423</v>
      </c>
      <c r="F7" s="532"/>
      <c r="G7" s="496"/>
      <c r="H7" s="496"/>
      <c r="I7" s="494"/>
    </row>
    <row r="8" spans="2:18" x14ac:dyDescent="0.3">
      <c r="B8" s="493" t="s">
        <v>2079</v>
      </c>
      <c r="C8" s="494"/>
      <c r="D8" s="495" t="s">
        <v>1346</v>
      </c>
      <c r="E8" s="495" t="s">
        <v>2286</v>
      </c>
      <c r="F8" s="490"/>
      <c r="G8" s="496"/>
      <c r="H8" s="496"/>
      <c r="I8" s="494"/>
    </row>
    <row r="9" spans="2:18" x14ac:dyDescent="0.3">
      <c r="B9" s="2057" t="s">
        <v>1347</v>
      </c>
      <c r="C9" s="2058"/>
      <c r="D9" s="2058"/>
      <c r="E9" s="2058"/>
      <c r="F9" s="2058"/>
      <c r="G9" s="497"/>
      <c r="H9" s="497"/>
      <c r="I9" s="494"/>
    </row>
    <row r="10" spans="2:18" x14ac:dyDescent="0.3">
      <c r="B10" s="2059" t="s">
        <v>215</v>
      </c>
      <c r="C10" s="2059"/>
      <c r="D10" s="1177" t="s">
        <v>2080</v>
      </c>
      <c r="E10" s="1177" t="s">
        <v>2080</v>
      </c>
      <c r="F10" s="1177" t="s">
        <v>2080</v>
      </c>
      <c r="G10" s="496"/>
      <c r="H10" s="496"/>
      <c r="I10" s="494" t="s">
        <v>593</v>
      </c>
      <c r="K10" s="490" t="s">
        <v>1348</v>
      </c>
      <c r="L10" s="490" t="s">
        <v>1349</v>
      </c>
      <c r="M10" s="490" t="s">
        <v>1350</v>
      </c>
      <c r="N10" s="490" t="s">
        <v>1351</v>
      </c>
      <c r="O10" s="490" t="s">
        <v>1352</v>
      </c>
      <c r="P10" s="490" t="s">
        <v>1353</v>
      </c>
      <c r="Q10" s="490" t="s">
        <v>1354</v>
      </c>
      <c r="R10" s="492" t="s">
        <v>593</v>
      </c>
    </row>
    <row r="11" spans="2:18" x14ac:dyDescent="0.3">
      <c r="B11" s="498" t="s">
        <v>1355</v>
      </c>
      <c r="C11" s="494"/>
      <c r="D11" s="494"/>
      <c r="E11" s="494"/>
      <c r="F11" s="494"/>
      <c r="G11" s="499"/>
      <c r="H11" s="499"/>
      <c r="I11" s="499" t="s">
        <v>1356</v>
      </c>
      <c r="J11" s="500" t="s">
        <v>1357</v>
      </c>
      <c r="K11" s="375" t="s">
        <v>1358</v>
      </c>
      <c r="L11" s="375" t="s">
        <v>1359</v>
      </c>
      <c r="M11" s="501">
        <v>26466</v>
      </c>
      <c r="N11" s="501">
        <f>M11</f>
        <v>26466</v>
      </c>
      <c r="O11" s="501">
        <v>0</v>
      </c>
      <c r="P11" s="502"/>
      <c r="Q11" s="363"/>
      <c r="R11" s="503"/>
    </row>
    <row r="12" spans="2:18" x14ac:dyDescent="0.3">
      <c r="B12" s="494"/>
      <c r="C12" s="494"/>
      <c r="D12" s="494"/>
      <c r="E12" s="499"/>
      <c r="F12" s="499"/>
      <c r="G12" s="499"/>
      <c r="H12" s="499"/>
      <c r="I12" s="494"/>
      <c r="J12" s="500" t="s">
        <v>1357</v>
      </c>
      <c r="K12" s="375" t="s">
        <v>1360</v>
      </c>
      <c r="L12" s="375" t="s">
        <v>1361</v>
      </c>
      <c r="M12" s="501">
        <v>938513</v>
      </c>
      <c r="N12" s="501">
        <v>184808</v>
      </c>
      <c r="O12" s="501">
        <f>M12-N12</f>
        <v>753705</v>
      </c>
      <c r="P12" s="502"/>
      <c r="Q12" s="363"/>
      <c r="R12" s="503"/>
    </row>
    <row r="13" spans="2:18" x14ac:dyDescent="0.3">
      <c r="B13" s="494" t="s">
        <v>1362</v>
      </c>
      <c r="C13" s="494"/>
      <c r="D13" s="494"/>
      <c r="E13" s="504"/>
      <c r="F13" s="505">
        <f>'BS PL CFL'!E114</f>
        <v>1578827.9600000009</v>
      </c>
      <c r="G13" s="505"/>
      <c r="H13" s="505"/>
      <c r="I13" s="505" t="e">
        <v>#REF!</v>
      </c>
      <c r="J13" s="500" t="s">
        <v>1357</v>
      </c>
      <c r="K13" s="375" t="s">
        <v>1363</v>
      </c>
      <c r="L13" s="375" t="s">
        <v>1364</v>
      </c>
      <c r="M13" s="501">
        <v>2845840</v>
      </c>
      <c r="N13" s="501">
        <v>169367</v>
      </c>
      <c r="O13" s="501">
        <f>M13-N13</f>
        <v>2676473</v>
      </c>
      <c r="P13" s="502"/>
      <c r="Q13" s="363"/>
      <c r="R13" s="503"/>
    </row>
    <row r="14" spans="2:18" x14ac:dyDescent="0.3">
      <c r="B14" s="495"/>
      <c r="C14" s="494"/>
      <c r="D14" s="494"/>
      <c r="E14" s="504"/>
      <c r="F14" s="504"/>
      <c r="G14" s="504"/>
      <c r="H14" s="504"/>
      <c r="I14" s="494"/>
      <c r="J14" s="500" t="s">
        <v>1357</v>
      </c>
      <c r="K14" s="375" t="s">
        <v>1365</v>
      </c>
      <c r="L14" s="375" t="s">
        <v>1366</v>
      </c>
      <c r="M14" s="501"/>
      <c r="N14" s="501"/>
      <c r="O14" s="501"/>
      <c r="P14" s="506">
        <v>116114</v>
      </c>
      <c r="Q14" s="375" t="s">
        <v>1367</v>
      </c>
      <c r="R14" s="503">
        <f>375772+279028+1490449</f>
        <v>2145249</v>
      </c>
    </row>
    <row r="15" spans="2:18" x14ac:dyDescent="0.3">
      <c r="B15" s="507" t="s">
        <v>1368</v>
      </c>
      <c r="C15" s="495" t="s">
        <v>1369</v>
      </c>
      <c r="D15" s="494"/>
      <c r="E15" s="504"/>
      <c r="F15" s="504"/>
      <c r="G15" s="504"/>
      <c r="H15" s="504"/>
      <c r="I15" s="494"/>
      <c r="J15" s="500" t="s">
        <v>1357</v>
      </c>
      <c r="K15" s="375" t="s">
        <v>1370</v>
      </c>
      <c r="L15" s="375" t="s">
        <v>1371</v>
      </c>
      <c r="M15" s="501"/>
      <c r="N15" s="501"/>
      <c r="O15" s="501"/>
      <c r="P15" s="506">
        <v>86220</v>
      </c>
      <c r="Q15" s="375" t="s">
        <v>1372</v>
      </c>
      <c r="R15" s="503">
        <f>+M11+M12+M13</f>
        <v>3810819</v>
      </c>
    </row>
    <row r="16" spans="2:18" x14ac:dyDescent="0.3">
      <c r="B16" s="498" t="s">
        <v>529</v>
      </c>
      <c r="C16" s="494" t="s">
        <v>1373</v>
      </c>
      <c r="D16" s="494"/>
      <c r="E16" s="504">
        <v>0</v>
      </c>
      <c r="F16" s="504">
        <v>0</v>
      </c>
      <c r="G16" s="504"/>
      <c r="H16" s="504"/>
      <c r="I16" s="494"/>
      <c r="J16" s="500" t="s">
        <v>1357</v>
      </c>
      <c r="K16" s="375" t="s">
        <v>1374</v>
      </c>
      <c r="L16" s="375" t="s">
        <v>1375</v>
      </c>
      <c r="M16" s="501"/>
      <c r="N16" s="501"/>
      <c r="O16" s="501"/>
      <c r="P16" s="506">
        <v>460549</v>
      </c>
      <c r="Q16" s="375" t="s">
        <v>1376</v>
      </c>
      <c r="R16" s="503">
        <f>+R15-R14</f>
        <v>1665570</v>
      </c>
    </row>
    <row r="17" spans="2:24" x14ac:dyDescent="0.3">
      <c r="B17" s="498" t="s">
        <v>529</v>
      </c>
      <c r="C17" s="494" t="s">
        <v>1424</v>
      </c>
      <c r="D17" s="494"/>
      <c r="E17" s="504">
        <v>0</v>
      </c>
      <c r="F17" s="504"/>
      <c r="G17" s="504"/>
      <c r="H17" s="504"/>
      <c r="I17" s="494"/>
      <c r="J17" s="500" t="s">
        <v>1357</v>
      </c>
      <c r="K17" s="375" t="s">
        <v>1377</v>
      </c>
      <c r="L17" s="508" t="s">
        <v>1378</v>
      </c>
      <c r="M17" s="501"/>
      <c r="N17" s="501"/>
      <c r="O17" s="501"/>
      <c r="P17" s="506">
        <v>499671</v>
      </c>
      <c r="Q17" s="375" t="s">
        <v>1379</v>
      </c>
      <c r="R17" s="503">
        <f>+R16*30%</f>
        <v>499671</v>
      </c>
      <c r="X17" s="491"/>
    </row>
    <row r="18" spans="2:24" x14ac:dyDescent="0.3">
      <c r="B18" s="498" t="s">
        <v>529</v>
      </c>
      <c r="C18" s="494" t="s">
        <v>581</v>
      </c>
      <c r="D18" s="494"/>
      <c r="E18" s="509">
        <v>0</v>
      </c>
      <c r="F18" s="504">
        <f>SUM(E16:E18)</f>
        <v>0</v>
      </c>
      <c r="G18" s="504"/>
      <c r="H18" s="504"/>
      <c r="J18" s="500" t="s">
        <v>1357</v>
      </c>
      <c r="K18" s="375" t="s">
        <v>1380</v>
      </c>
      <c r="L18" s="375" t="s">
        <v>1381</v>
      </c>
      <c r="M18" s="501"/>
      <c r="N18" s="501"/>
      <c r="O18" s="501"/>
      <c r="P18" s="502"/>
      <c r="Q18" s="363"/>
      <c r="R18" s="503"/>
    </row>
    <row r="19" spans="2:24" x14ac:dyDescent="0.3">
      <c r="B19" s="494"/>
      <c r="E19" s="490"/>
      <c r="F19" s="505"/>
      <c r="G19" s="505"/>
      <c r="H19" s="505"/>
    </row>
    <row r="20" spans="2:24" x14ac:dyDescent="0.3">
      <c r="B20" s="498"/>
      <c r="C20" s="495"/>
      <c r="E20" s="504"/>
      <c r="F20" s="504"/>
      <c r="G20" s="504"/>
      <c r="H20" s="504"/>
      <c r="J20" s="500"/>
      <c r="K20" s="375"/>
      <c r="L20" s="375"/>
      <c r="M20" s="501"/>
      <c r="N20" s="501"/>
      <c r="O20" s="501"/>
      <c r="P20" s="502"/>
      <c r="Q20" s="363"/>
      <c r="R20" s="503"/>
    </row>
    <row r="21" spans="2:24" x14ac:dyDescent="0.3">
      <c r="B21" s="498" t="s">
        <v>524</v>
      </c>
      <c r="C21" s="495" t="s">
        <v>1382</v>
      </c>
      <c r="D21" s="494"/>
      <c r="E21" s="504"/>
      <c r="F21" s="505"/>
      <c r="G21" s="505"/>
      <c r="H21" s="505"/>
      <c r="J21" s="500"/>
      <c r="K21" s="375"/>
      <c r="L21" s="363" t="s">
        <v>213</v>
      </c>
      <c r="M21" s="502">
        <f>SUM(M11:M18)</f>
        <v>3810819</v>
      </c>
      <c r="N21" s="502">
        <f>SUM(N11:N18)</f>
        <v>380641</v>
      </c>
      <c r="O21" s="502">
        <f>SUM(O11:O18)</f>
        <v>3430178</v>
      </c>
      <c r="P21" s="502">
        <f>SUM(P11:P18)</f>
        <v>1162554</v>
      </c>
      <c r="Q21" s="363"/>
      <c r="R21" s="503"/>
    </row>
    <row r="22" spans="2:24" x14ac:dyDescent="0.3">
      <c r="B22" s="494"/>
      <c r="C22" s="510" t="s">
        <v>1383</v>
      </c>
      <c r="D22" s="494"/>
      <c r="E22" s="511">
        <f>'IT Dep'!G15</f>
        <v>0</v>
      </c>
      <c r="F22" s="505">
        <f>SUM(E22)</f>
        <v>0</v>
      </c>
      <c r="G22" s="505"/>
      <c r="H22" s="505"/>
      <c r="I22" s="505">
        <f>+H22-H19</f>
        <v>0</v>
      </c>
    </row>
    <row r="23" spans="2:24" x14ac:dyDescent="0.3">
      <c r="B23" s="494"/>
      <c r="C23" s="510"/>
      <c r="D23" s="494"/>
      <c r="E23" s="509"/>
      <c r="F23" s="505"/>
      <c r="G23" s="505"/>
      <c r="H23" s="505"/>
    </row>
    <row r="24" spans="2:24" x14ac:dyDescent="0.3">
      <c r="B24" s="493"/>
      <c r="C24" s="494"/>
      <c r="D24" s="512" t="s">
        <v>213</v>
      </c>
      <c r="E24" s="504"/>
      <c r="F24" s="513">
        <f>F13+F16+F18-F22</f>
        <v>1578827.9600000009</v>
      </c>
      <c r="G24" s="514"/>
      <c r="H24" s="514"/>
      <c r="I24" s="513" t="e">
        <f>+I13+I15+I18-I22</f>
        <v>#REF!</v>
      </c>
      <c r="Q24" s="491"/>
    </row>
    <row r="25" spans="2:24" x14ac:dyDescent="0.3">
      <c r="B25" s="493"/>
      <c r="C25" s="494"/>
      <c r="D25" s="494"/>
      <c r="E25" s="504"/>
      <c r="F25" s="505"/>
      <c r="G25" s="505"/>
      <c r="H25" s="505"/>
      <c r="I25" s="505">
        <f>+H25+H24</f>
        <v>0</v>
      </c>
    </row>
    <row r="26" spans="2:24" x14ac:dyDescent="0.3">
      <c r="B26" s="493" t="s">
        <v>1384</v>
      </c>
      <c r="C26" s="494"/>
      <c r="D26" s="495"/>
      <c r="E26" s="504"/>
      <c r="F26" s="513">
        <f>+F24</f>
        <v>1578827.9600000009</v>
      </c>
      <c r="G26" s="514"/>
      <c r="H26" s="514"/>
      <c r="I26" s="513" t="e">
        <f>+I24</f>
        <v>#REF!</v>
      </c>
    </row>
    <row r="27" spans="2:24" x14ac:dyDescent="0.3">
      <c r="B27" s="493"/>
      <c r="C27" s="494"/>
      <c r="D27" s="495"/>
      <c r="E27" s="504"/>
      <c r="F27" s="514"/>
      <c r="G27" s="514"/>
      <c r="H27" s="514"/>
      <c r="I27" s="514"/>
    </row>
    <row r="28" spans="2:24" x14ac:dyDescent="0.3">
      <c r="B28" s="493" t="s">
        <v>1385</v>
      </c>
      <c r="C28" s="494"/>
      <c r="D28" s="495"/>
      <c r="E28" s="504"/>
      <c r="F28" s="514"/>
      <c r="G28" s="514"/>
      <c r="H28" s="514"/>
      <c r="I28" s="514"/>
    </row>
    <row r="29" spans="2:24" x14ac:dyDescent="0.3">
      <c r="B29" s="493"/>
      <c r="C29" s="494" t="s">
        <v>1386</v>
      </c>
      <c r="E29" s="505">
        <f>F26</f>
        <v>1578827.9600000009</v>
      </c>
      <c r="F29" s="514"/>
      <c r="G29" s="514"/>
      <c r="H29" s="514"/>
      <c r="I29" s="514"/>
    </row>
    <row r="30" spans="2:24" x14ac:dyDescent="0.3">
      <c r="B30" s="498"/>
      <c r="C30" s="494" t="s">
        <v>1387</v>
      </c>
      <c r="E30" s="505">
        <v>0</v>
      </c>
      <c r="F30" s="505">
        <v>0</v>
      </c>
      <c r="G30" s="505"/>
      <c r="H30" s="505"/>
      <c r="I30" s="505">
        <f>+H29+H30</f>
        <v>0</v>
      </c>
      <c r="J30" s="515"/>
      <c r="K30" s="297"/>
      <c r="L30" s="297" t="s">
        <v>1388</v>
      </c>
      <c r="M30" s="516"/>
      <c r="N30" s="516" t="s">
        <v>1389</v>
      </c>
    </row>
    <row r="31" spans="2:24" x14ac:dyDescent="0.3">
      <c r="B31" s="494"/>
      <c r="C31" s="495" t="s">
        <v>1390</v>
      </c>
      <c r="E31" s="504"/>
      <c r="F31" s="513">
        <f>F26-F30</f>
        <v>1578827.9600000009</v>
      </c>
      <c r="G31" s="514"/>
      <c r="H31" s="514"/>
      <c r="I31" s="513" t="e">
        <f>+I26-I30</f>
        <v>#REF!</v>
      </c>
      <c r="J31" s="515" t="s">
        <v>1357</v>
      </c>
      <c r="K31" s="297" t="s">
        <v>1380</v>
      </c>
      <c r="L31" s="297">
        <v>632813</v>
      </c>
      <c r="M31" s="516">
        <v>180780</v>
      </c>
      <c r="N31" s="516">
        <f>+L31-M31</f>
        <v>452033</v>
      </c>
    </row>
    <row r="32" spans="2:24" x14ac:dyDescent="0.3">
      <c r="I32" s="491"/>
      <c r="J32" s="515" t="s">
        <v>1357</v>
      </c>
      <c r="K32" s="297" t="s">
        <v>1391</v>
      </c>
      <c r="L32" s="297"/>
      <c r="M32" s="516"/>
      <c r="N32" s="516"/>
    </row>
    <row r="33" spans="2:15" x14ac:dyDescent="0.3">
      <c r="B33" s="494"/>
      <c r="C33" s="495" t="s">
        <v>1392</v>
      </c>
      <c r="E33" s="504"/>
      <c r="F33" s="513">
        <f>+F31</f>
        <v>1578827.9600000009</v>
      </c>
      <c r="G33" s="514"/>
      <c r="H33" s="514"/>
      <c r="I33" s="513" t="e">
        <f>+I31</f>
        <v>#REF!</v>
      </c>
      <c r="J33" s="515"/>
      <c r="K33" s="297"/>
      <c r="L33" s="297"/>
      <c r="M33" s="516"/>
      <c r="N33" s="516"/>
    </row>
    <row r="34" spans="2:15" x14ac:dyDescent="0.3">
      <c r="B34" s="494"/>
      <c r="C34" s="495"/>
      <c r="E34" s="504"/>
      <c r="F34" s="513"/>
      <c r="G34" s="514"/>
      <c r="H34" s="514"/>
      <c r="I34" s="513"/>
    </row>
    <row r="35" spans="2:15" x14ac:dyDescent="0.3">
      <c r="B35" s="494"/>
      <c r="C35" s="495" t="s">
        <v>1393</v>
      </c>
      <c r="E35" s="504"/>
      <c r="F35" s="513">
        <f>+ROUNDUP(F33,10)</f>
        <v>1578827.96</v>
      </c>
      <c r="G35" s="514"/>
      <c r="H35" s="514"/>
      <c r="I35" s="513" t="e">
        <f>+ROUNDUP(I33,10)</f>
        <v>#REF!</v>
      </c>
    </row>
    <row r="36" spans="2:15" x14ac:dyDescent="0.3">
      <c r="I36" s="491"/>
    </row>
    <row r="37" spans="2:15" ht="16.2" thickBot="1" x14ac:dyDescent="0.35">
      <c r="B37" s="494"/>
      <c r="C37" s="494"/>
      <c r="D37" s="494"/>
      <c r="E37" s="517" t="s">
        <v>1394</v>
      </c>
      <c r="F37" s="518">
        <f>IF(F35&lt;0,0,(ROUND(F35*25%,0)))</f>
        <v>394707</v>
      </c>
      <c r="G37" s="514"/>
      <c r="H37" s="514"/>
      <c r="I37" s="518" t="e">
        <f>+ROUND(I35*30%,0)</f>
        <v>#REF!</v>
      </c>
    </row>
    <row r="38" spans="2:15" ht="16.2" thickTop="1" x14ac:dyDescent="0.3">
      <c r="B38" s="494"/>
      <c r="C38" s="494"/>
      <c r="D38" s="494"/>
      <c r="E38" s="504"/>
      <c r="F38" s="504"/>
      <c r="G38" s="504"/>
      <c r="H38" s="504"/>
      <c r="I38" s="504"/>
      <c r="J38" s="494"/>
      <c r="K38" s="494"/>
      <c r="L38" s="494"/>
      <c r="M38" s="494"/>
      <c r="N38" s="494"/>
    </row>
    <row r="39" spans="2:15" x14ac:dyDescent="0.3">
      <c r="B39" s="1870" t="s">
        <v>1395</v>
      </c>
      <c r="C39" s="1869"/>
      <c r="D39" s="494"/>
      <c r="E39" s="504"/>
      <c r="F39" s="504"/>
      <c r="G39" s="504"/>
      <c r="H39" s="504"/>
      <c r="I39" s="504"/>
      <c r="J39" s="494"/>
      <c r="K39" s="494"/>
      <c r="L39" s="494"/>
      <c r="M39" s="494"/>
      <c r="N39" s="494"/>
    </row>
    <row r="40" spans="2:15" x14ac:dyDescent="0.3">
      <c r="B40" s="494"/>
      <c r="C40" s="494" t="s">
        <v>1362</v>
      </c>
      <c r="D40" s="494"/>
      <c r="E40" s="504"/>
      <c r="F40" s="514">
        <f>F13</f>
        <v>1578827.9600000009</v>
      </c>
      <c r="G40" s="505"/>
      <c r="H40" s="505"/>
      <c r="I40" s="505" t="e">
        <f>I13</f>
        <v>#REF!</v>
      </c>
      <c r="J40" s="375"/>
      <c r="K40" s="375"/>
      <c r="L40" s="375"/>
      <c r="M40" s="375" t="s">
        <v>1396</v>
      </c>
      <c r="N40" s="375" t="s">
        <v>1397</v>
      </c>
      <c r="O40" s="375" t="s">
        <v>1398</v>
      </c>
    </row>
    <row r="41" spans="2:15" x14ac:dyDescent="0.3">
      <c r="B41" s="519" t="s">
        <v>1399</v>
      </c>
      <c r="C41" s="494" t="s">
        <v>1400</v>
      </c>
      <c r="E41" s="504"/>
      <c r="F41" s="504"/>
      <c r="G41" s="504"/>
      <c r="H41" s="504"/>
      <c r="I41" s="504"/>
      <c r="J41" s="500" t="s">
        <v>1357</v>
      </c>
      <c r="K41" s="375" t="s">
        <v>1358</v>
      </c>
      <c r="L41" s="375" t="s">
        <v>1359</v>
      </c>
      <c r="M41" s="501">
        <v>1087987</v>
      </c>
      <c r="N41" s="501">
        <v>696818</v>
      </c>
      <c r="O41" s="501">
        <f>M41-N41</f>
        <v>391169</v>
      </c>
    </row>
    <row r="42" spans="2:15" x14ac:dyDescent="0.3">
      <c r="B42" s="494"/>
      <c r="C42" s="494" t="s">
        <v>1401</v>
      </c>
      <c r="E42" s="504"/>
      <c r="F42" s="505"/>
      <c r="G42" s="505"/>
      <c r="H42" s="505"/>
      <c r="I42" s="505"/>
      <c r="J42" s="500" t="s">
        <v>1357</v>
      </c>
      <c r="K42" s="375" t="s">
        <v>1360</v>
      </c>
      <c r="L42" s="375" t="s">
        <v>1361</v>
      </c>
      <c r="M42" s="501">
        <v>1397845</v>
      </c>
      <c r="N42" s="501">
        <v>656090</v>
      </c>
      <c r="O42" s="501">
        <f>M42-N42</f>
        <v>741755</v>
      </c>
    </row>
    <row r="43" spans="2:15" x14ac:dyDescent="0.3">
      <c r="B43" s="494"/>
      <c r="C43" s="494" t="s">
        <v>1386</v>
      </c>
      <c r="E43" s="505">
        <v>0</v>
      </c>
      <c r="F43" s="505"/>
      <c r="G43" s="505"/>
      <c r="H43" s="505"/>
      <c r="I43" s="505"/>
      <c r="J43" s="500" t="s">
        <v>1357</v>
      </c>
      <c r="K43" s="375" t="s">
        <v>1363</v>
      </c>
      <c r="L43" s="375" t="s">
        <v>1364</v>
      </c>
      <c r="M43" s="501">
        <v>3349642</v>
      </c>
      <c r="N43" s="501">
        <v>325036</v>
      </c>
      <c r="O43" s="501">
        <f>M43-N43</f>
        <v>3024606</v>
      </c>
    </row>
    <row r="44" spans="2:15" x14ac:dyDescent="0.3">
      <c r="B44" s="494"/>
      <c r="C44" s="494" t="s">
        <v>214</v>
      </c>
      <c r="E44" s="505">
        <v>0</v>
      </c>
      <c r="F44" s="505">
        <f>E44</f>
        <v>0</v>
      </c>
      <c r="G44" s="505"/>
      <c r="H44" s="505"/>
      <c r="I44" s="505">
        <f>+H44+H43</f>
        <v>0</v>
      </c>
      <c r="J44" s="500" t="s">
        <v>1357</v>
      </c>
      <c r="K44" s="375" t="s">
        <v>1365</v>
      </c>
      <c r="L44" s="375" t="s">
        <v>1366</v>
      </c>
      <c r="M44" s="501">
        <v>971580</v>
      </c>
      <c r="N44" s="501">
        <v>255305</v>
      </c>
      <c r="O44" s="501">
        <f>M44-N44</f>
        <v>716275</v>
      </c>
    </row>
    <row r="45" spans="2:15" x14ac:dyDescent="0.3">
      <c r="B45" s="494"/>
      <c r="C45" s="498" t="s">
        <v>1402</v>
      </c>
      <c r="E45" s="520"/>
      <c r="F45" s="520">
        <v>0</v>
      </c>
      <c r="G45" s="505"/>
      <c r="H45" s="505"/>
      <c r="I45" s="520">
        <v>0</v>
      </c>
      <c r="J45" s="500" t="s">
        <v>1357</v>
      </c>
      <c r="K45" s="375" t="s">
        <v>1370</v>
      </c>
      <c r="L45" s="375" t="s">
        <v>1371</v>
      </c>
      <c r="M45" s="501"/>
      <c r="N45" s="501"/>
      <c r="O45" s="501"/>
    </row>
    <row r="46" spans="2:15" x14ac:dyDescent="0.3">
      <c r="B46" s="494"/>
      <c r="C46" s="521"/>
      <c r="D46" s="522"/>
      <c r="E46" s="523"/>
      <c r="F46" s="505">
        <f>+F40-F44+F45</f>
        <v>1578827.9600000009</v>
      </c>
      <c r="G46" s="505"/>
      <c r="H46" s="505"/>
      <c r="I46" s="505" t="e">
        <f>+I40+I44+I45</f>
        <v>#REF!</v>
      </c>
      <c r="J46" s="500" t="s">
        <v>1357</v>
      </c>
      <c r="K46" s="375" t="s">
        <v>1374</v>
      </c>
      <c r="L46" s="375" t="s">
        <v>1375</v>
      </c>
      <c r="M46" s="501"/>
      <c r="N46" s="501"/>
      <c r="O46" s="501"/>
    </row>
    <row r="47" spans="2:15" x14ac:dyDescent="0.3">
      <c r="B47" s="494"/>
      <c r="C47" s="521" t="s">
        <v>1428</v>
      </c>
      <c r="D47" s="522" t="s">
        <v>1429</v>
      </c>
      <c r="E47" s="523">
        <v>0</v>
      </c>
      <c r="F47" s="505"/>
      <c r="G47" s="505"/>
      <c r="H47" s="505"/>
      <c r="I47" s="505"/>
      <c r="J47" s="500"/>
      <c r="K47" s="375"/>
      <c r="L47" s="375"/>
      <c r="M47" s="501"/>
      <c r="N47" s="501"/>
      <c r="O47" s="501"/>
    </row>
    <row r="48" spans="2:15" x14ac:dyDescent="0.3">
      <c r="B48" s="494"/>
      <c r="C48" s="521"/>
      <c r="D48" s="522"/>
      <c r="E48" s="533">
        <v>0</v>
      </c>
      <c r="F48" s="505"/>
      <c r="G48" s="505"/>
      <c r="H48" s="505"/>
      <c r="I48" s="505"/>
      <c r="J48" s="500"/>
      <c r="K48" s="375"/>
      <c r="L48" s="375"/>
      <c r="M48" s="501"/>
      <c r="N48" s="501"/>
      <c r="O48" s="501"/>
    </row>
    <row r="49" spans="2:28" x14ac:dyDescent="0.3">
      <c r="B49" s="494"/>
      <c r="C49" s="521"/>
      <c r="D49" s="534" t="s">
        <v>1430</v>
      </c>
      <c r="E49" s="523"/>
      <c r="F49" s="520">
        <f>F46</f>
        <v>1578827.9600000009</v>
      </c>
      <c r="G49" s="505"/>
      <c r="H49" s="505"/>
      <c r="I49" s="520"/>
      <c r="J49" s="500" t="s">
        <v>1357</v>
      </c>
      <c r="K49" s="375" t="s">
        <v>1377</v>
      </c>
      <c r="L49" s="508" t="s">
        <v>1378</v>
      </c>
      <c r="M49" s="501"/>
      <c r="N49" s="501"/>
      <c r="O49" s="501"/>
    </row>
    <row r="50" spans="2:28" x14ac:dyDescent="0.3">
      <c r="B50" s="494"/>
      <c r="C50" s="522" t="s">
        <v>1403</v>
      </c>
      <c r="E50" s="523"/>
      <c r="F50" s="524">
        <f>F46-F49</f>
        <v>0</v>
      </c>
      <c r="G50" s="514"/>
      <c r="H50" s="514"/>
      <c r="I50" s="524" t="e">
        <f>I46</f>
        <v>#REF!</v>
      </c>
      <c r="J50" s="500" t="s">
        <v>1357</v>
      </c>
      <c r="K50" s="375" t="s">
        <v>1380</v>
      </c>
      <c r="L50" s="375" t="s">
        <v>1381</v>
      </c>
      <c r="M50" s="501"/>
      <c r="N50" s="501"/>
      <c r="O50" s="501"/>
    </row>
    <row r="51" spans="2:28" x14ac:dyDescent="0.3">
      <c r="B51" s="494"/>
      <c r="C51" s="494"/>
      <c r="D51" s="510"/>
      <c r="E51" s="523"/>
      <c r="F51" s="504"/>
      <c r="G51" s="504"/>
      <c r="H51" s="504"/>
      <c r="I51" s="504"/>
      <c r="J51" s="500"/>
      <c r="K51" s="375"/>
      <c r="L51" s="375"/>
      <c r="M51" s="501">
        <f>SUM(M41:M50)</f>
        <v>6807054</v>
      </c>
      <c r="N51" s="501">
        <f t="shared" ref="N51:O51" si="0">SUM(N41:N50)</f>
        <v>1933249</v>
      </c>
      <c r="O51" s="501">
        <f t="shared" si="0"/>
        <v>4873805</v>
      </c>
    </row>
    <row r="52" spans="2:28" ht="16.2" thickBot="1" x14ac:dyDescent="0.35">
      <c r="B52" s="494"/>
      <c r="C52" s="494" t="s">
        <v>2289</v>
      </c>
      <c r="E52" s="517" t="s">
        <v>1404</v>
      </c>
      <c r="F52" s="1522">
        <f>F49*15%</f>
        <v>236824.19400000013</v>
      </c>
      <c r="G52" s="514">
        <f>+F52*4%</f>
        <v>9472.967760000005</v>
      </c>
      <c r="H52" s="514"/>
      <c r="I52" s="518" t="e">
        <f>IF(I50&lt;0,0,(ROUND(I50*18.5%,0)))</f>
        <v>#REF!</v>
      </c>
      <c r="J52" s="494"/>
      <c r="K52" s="494"/>
      <c r="L52" s="494"/>
      <c r="M52" s="494"/>
      <c r="N52" s="494"/>
      <c r="O52" s="494"/>
      <c r="X52" s="530">
        <f>+F52+G52</f>
        <v>246297.16176000013</v>
      </c>
    </row>
    <row r="53" spans="2:28" ht="16.2" thickTop="1" x14ac:dyDescent="0.3">
      <c r="B53" s="494"/>
      <c r="C53" s="494"/>
      <c r="E53" s="490"/>
      <c r="F53" s="514"/>
      <c r="G53" s="514"/>
      <c r="H53" s="514"/>
      <c r="I53" s="514"/>
      <c r="J53" s="494"/>
      <c r="K53" s="494"/>
      <c r="L53" s="494"/>
      <c r="M53" s="494"/>
      <c r="N53" s="494"/>
      <c r="O53" s="494"/>
    </row>
    <row r="54" spans="2:28" x14ac:dyDescent="0.3">
      <c r="B54" s="494"/>
      <c r="C54" s="525" t="s">
        <v>1405</v>
      </c>
      <c r="D54" s="526"/>
      <c r="E54" s="527"/>
      <c r="F54" s="528">
        <f>+IF(F52&lt;F37,F37,F52)</f>
        <v>394707</v>
      </c>
      <c r="G54" s="505"/>
      <c r="H54" s="505"/>
      <c r="I54" s="505" t="e">
        <f>+IF(I52&lt;I37,I37,I52)</f>
        <v>#REF!</v>
      </c>
      <c r="J54" s="494"/>
      <c r="K54" s="494"/>
      <c r="L54" s="529" t="s">
        <v>1406</v>
      </c>
      <c r="N54" s="494"/>
      <c r="O54" s="494"/>
      <c r="P54" s="504"/>
    </row>
    <row r="55" spans="2:28" x14ac:dyDescent="0.3">
      <c r="C55" s="494" t="s">
        <v>1407</v>
      </c>
      <c r="E55" s="504"/>
      <c r="F55" s="520"/>
      <c r="G55" s="505"/>
      <c r="H55" s="505"/>
      <c r="I55" s="1792" t="e">
        <f>+ROUND(I54*0%,0)</f>
        <v>#REF!</v>
      </c>
      <c r="J55" s="494"/>
      <c r="K55" s="494"/>
      <c r="L55" s="494"/>
      <c r="M55" s="494"/>
      <c r="N55" s="494"/>
      <c r="O55" s="494"/>
      <c r="P55" s="530"/>
    </row>
    <row r="56" spans="2:28" x14ac:dyDescent="0.3">
      <c r="C56" s="494" t="s">
        <v>1408</v>
      </c>
      <c r="E56" s="504"/>
      <c r="F56" s="514">
        <f>+F54+F55</f>
        <v>394707</v>
      </c>
      <c r="G56" s="1793"/>
      <c r="H56" s="1793"/>
      <c r="I56" s="1793"/>
      <c r="J56" s="494"/>
      <c r="K56" s="494"/>
      <c r="L56" s="494"/>
      <c r="M56" s="494"/>
      <c r="N56" s="494"/>
      <c r="O56" s="504"/>
      <c r="R56" s="1794"/>
      <c r="X56" s="1795"/>
      <c r="Y56" s="1796"/>
      <c r="Z56" s="1796"/>
      <c r="AA56" s="1796"/>
      <c r="AB56" s="1796"/>
    </row>
    <row r="57" spans="2:28" x14ac:dyDescent="0.3">
      <c r="C57" s="494" t="s">
        <v>1410</v>
      </c>
      <c r="E57" s="504"/>
      <c r="F57" s="531">
        <f>F56*4%</f>
        <v>15788.28</v>
      </c>
      <c r="G57" s="1792"/>
      <c r="H57" s="1792"/>
      <c r="I57" s="1792"/>
      <c r="J57" s="494"/>
      <c r="K57" s="494"/>
      <c r="L57" s="494"/>
      <c r="M57" s="494"/>
      <c r="N57" s="494"/>
      <c r="O57" s="504"/>
      <c r="R57" s="1794"/>
      <c r="X57" s="494"/>
      <c r="Y57" s="1797"/>
      <c r="Z57" s="1797"/>
      <c r="AA57" s="1797"/>
      <c r="AB57" s="1798"/>
    </row>
    <row r="58" spans="2:28" x14ac:dyDescent="0.3">
      <c r="C58" s="494" t="s">
        <v>1411</v>
      </c>
      <c r="E58" s="504"/>
      <c r="F58" s="514">
        <f>+F56+F57</f>
        <v>410495.28</v>
      </c>
      <c r="G58" s="1793"/>
      <c r="H58" s="1793"/>
      <c r="I58" s="1793"/>
      <c r="J58" s="494"/>
      <c r="K58" s="494"/>
      <c r="L58" s="494"/>
      <c r="M58" s="494"/>
      <c r="N58" s="494"/>
      <c r="O58" s="1799"/>
      <c r="R58" s="1794"/>
      <c r="X58" s="494"/>
      <c r="Y58" s="1797"/>
      <c r="Z58" s="1797"/>
      <c r="AA58" s="1797"/>
      <c r="AB58" s="1798"/>
    </row>
    <row r="59" spans="2:28" x14ac:dyDescent="0.3">
      <c r="C59" s="494"/>
      <c r="D59" s="490" t="s">
        <v>1412</v>
      </c>
      <c r="E59" s="504"/>
      <c r="F59" s="514"/>
      <c r="G59" s="1793"/>
      <c r="H59" s="1793"/>
      <c r="I59" s="1793"/>
      <c r="J59" s="494"/>
      <c r="K59" s="494"/>
      <c r="L59" s="494"/>
      <c r="M59" s="494"/>
      <c r="N59" s="494"/>
      <c r="O59" s="1800"/>
      <c r="R59" s="1794"/>
      <c r="X59" s="494"/>
      <c r="Y59" s="1797"/>
      <c r="Z59" s="1797"/>
      <c r="AA59" s="1797"/>
      <c r="AB59" s="1798"/>
    </row>
    <row r="60" spans="2:28" x14ac:dyDescent="0.3">
      <c r="C60" s="494"/>
      <c r="E60" s="504"/>
      <c r="F60" s="514">
        <f>F58-F59</f>
        <v>410495.28</v>
      </c>
      <c r="G60" s="1793"/>
      <c r="H60" s="1793"/>
      <c r="I60" s="1793"/>
      <c r="J60" s="494"/>
      <c r="K60" s="494"/>
      <c r="L60" s="494"/>
      <c r="M60" s="494"/>
      <c r="N60" s="494"/>
      <c r="O60" s="1800"/>
      <c r="R60" s="1794"/>
      <c r="X60" s="494"/>
      <c r="Y60" s="1797"/>
      <c r="Z60" s="1797"/>
      <c r="AA60" s="1797"/>
      <c r="AB60" s="1798"/>
    </row>
    <row r="61" spans="2:28" x14ac:dyDescent="0.3">
      <c r="C61" s="510" t="s">
        <v>1413</v>
      </c>
      <c r="E61" s="504">
        <v>0</v>
      </c>
      <c r="F61" s="505">
        <f>SUM(E62:E63)</f>
        <v>0</v>
      </c>
      <c r="G61" s="1793"/>
      <c r="H61" s="1793"/>
      <c r="I61" s="1793"/>
      <c r="J61" s="494"/>
      <c r="K61" s="494"/>
      <c r="L61" s="494"/>
      <c r="M61" s="494"/>
      <c r="N61" s="494"/>
      <c r="O61" s="494"/>
      <c r="R61" s="1794"/>
      <c r="Y61" s="1797"/>
      <c r="Z61" s="1797"/>
      <c r="AA61" s="1797"/>
      <c r="AB61" s="1798"/>
    </row>
    <row r="62" spans="2:28" x14ac:dyDescent="0.3">
      <c r="C62" s="510" t="s">
        <v>1414</v>
      </c>
      <c r="E62" s="504">
        <v>0</v>
      </c>
      <c r="F62" s="505"/>
      <c r="G62" s="1792"/>
      <c r="H62" s="1793"/>
      <c r="I62" s="1793"/>
      <c r="J62" s="494"/>
      <c r="K62" s="494"/>
      <c r="L62" s="494"/>
      <c r="O62" s="494"/>
      <c r="R62" s="1794"/>
      <c r="X62" s="1793"/>
      <c r="Y62" s="1798"/>
      <c r="Z62" s="1798"/>
      <c r="AA62" s="1798"/>
      <c r="AB62" s="1798"/>
    </row>
    <row r="63" spans="2:28" x14ac:dyDescent="0.3">
      <c r="C63" s="510" t="s">
        <v>1415</v>
      </c>
      <c r="E63" s="504">
        <v>0</v>
      </c>
      <c r="F63" s="505"/>
      <c r="G63" s="1792"/>
      <c r="H63" s="1792"/>
      <c r="I63" s="1792"/>
      <c r="J63" s="494"/>
      <c r="K63" s="494"/>
      <c r="L63" s="1797"/>
      <c r="O63" s="494"/>
      <c r="P63" s="494"/>
      <c r="Q63" s="1797"/>
      <c r="R63" s="1794"/>
    </row>
    <row r="64" spans="2:28" ht="16.2" thickBot="1" x14ac:dyDescent="0.35">
      <c r="C64" s="522" t="s">
        <v>1416</v>
      </c>
      <c r="E64" s="504"/>
      <c r="F64" s="518">
        <f>ROUND(SUM(F60:F63),0)</f>
        <v>410495</v>
      </c>
      <c r="G64" s="1792"/>
      <c r="H64" s="1792"/>
      <c r="I64" s="1792"/>
      <c r="J64" s="494"/>
      <c r="K64" s="494"/>
      <c r="L64" s="1797"/>
      <c r="O64" s="494"/>
      <c r="P64" s="494"/>
      <c r="Q64" s="1797"/>
      <c r="R64" s="1794"/>
    </row>
    <row r="65" spans="3:24" ht="16.2" thickTop="1" x14ac:dyDescent="0.3">
      <c r="C65" s="494" t="s">
        <v>1417</v>
      </c>
      <c r="E65" s="504"/>
      <c r="F65" s="504"/>
      <c r="G65" s="1793"/>
      <c r="H65" s="1793"/>
      <c r="I65" s="1793"/>
      <c r="J65" s="494"/>
      <c r="K65" s="504"/>
      <c r="L65" s="1797"/>
      <c r="O65" s="494"/>
      <c r="P65" s="504"/>
      <c r="Q65" s="1797"/>
      <c r="R65" s="1794"/>
    </row>
    <row r="66" spans="3:24" x14ac:dyDescent="0.3">
      <c r="C66" s="494" t="s">
        <v>1409</v>
      </c>
      <c r="E66" s="505">
        <v>0</v>
      </c>
      <c r="F66" s="504"/>
      <c r="G66" s="504"/>
      <c r="H66" s="504"/>
      <c r="I66" s="504"/>
      <c r="J66" s="494"/>
      <c r="K66" s="504"/>
      <c r="M66" s="494"/>
      <c r="O66" s="494"/>
      <c r="R66" s="1794"/>
    </row>
    <row r="67" spans="3:24" x14ac:dyDescent="0.3">
      <c r="C67" s="494" t="s">
        <v>1418</v>
      </c>
      <c r="E67" s="505">
        <v>0</v>
      </c>
      <c r="F67" s="504">
        <v>0</v>
      </c>
      <c r="G67" s="504"/>
      <c r="H67" s="504"/>
      <c r="I67" s="504"/>
      <c r="J67" s="494"/>
      <c r="K67" s="494"/>
      <c r="L67" s="494"/>
      <c r="M67" s="494"/>
      <c r="N67" s="494"/>
      <c r="O67" s="494"/>
      <c r="R67" s="1794"/>
    </row>
    <row r="68" spans="3:24" x14ac:dyDescent="0.3">
      <c r="C68" s="494" t="s">
        <v>1419</v>
      </c>
      <c r="E68" s="504">
        <v>0</v>
      </c>
      <c r="F68" s="504">
        <f>SUM(E66:E68)</f>
        <v>0</v>
      </c>
      <c r="G68" s="504"/>
      <c r="H68" s="504"/>
      <c r="I68" s="504"/>
      <c r="J68" s="494"/>
      <c r="K68" s="494"/>
      <c r="L68" s="494"/>
      <c r="M68" s="494"/>
      <c r="N68" s="494"/>
      <c r="O68" s="494"/>
      <c r="R68" s="1794"/>
      <c r="X68" s="491"/>
    </row>
    <row r="69" spans="3:24" s="337" customFormat="1" ht="16.2" thickBot="1" x14ac:dyDescent="0.35">
      <c r="C69" s="495" t="s">
        <v>1420</v>
      </c>
      <c r="E69" s="1523"/>
      <c r="F69" s="518">
        <f>+F64-F68</f>
        <v>410495</v>
      </c>
      <c r="G69" s="504"/>
      <c r="H69" s="504"/>
      <c r="I69" s="504"/>
      <c r="J69" s="494"/>
      <c r="K69" s="494"/>
      <c r="L69" s="494"/>
      <c r="M69" s="494"/>
      <c r="N69" s="494"/>
      <c r="O69" s="494"/>
      <c r="R69" s="1797"/>
    </row>
    <row r="70" spans="3:24" ht="16.2" thickTop="1" x14ac:dyDescent="0.3">
      <c r="D70" s="494"/>
      <c r="E70" s="504"/>
      <c r="F70" s="504"/>
      <c r="G70" s="1801"/>
      <c r="H70" s="1793"/>
      <c r="I70" s="1793"/>
      <c r="J70" s="494"/>
      <c r="K70" s="494"/>
      <c r="L70" s="494"/>
      <c r="M70" s="494"/>
      <c r="N70" s="494"/>
      <c r="O70" s="494"/>
      <c r="R70" s="1794"/>
    </row>
    <row r="71" spans="3:24" x14ac:dyDescent="0.3">
      <c r="D71" s="494"/>
      <c r="E71" s="504"/>
      <c r="F71" s="504"/>
      <c r="G71" s="504"/>
      <c r="H71" s="504"/>
      <c r="I71" s="494"/>
      <c r="J71" s="494"/>
      <c r="K71" s="494"/>
      <c r="L71" s="494"/>
      <c r="M71" s="494"/>
      <c r="N71" s="494"/>
      <c r="O71" s="494"/>
      <c r="R71" s="1794"/>
    </row>
    <row r="72" spans="3:24" x14ac:dyDescent="0.3">
      <c r="G72" s="504"/>
      <c r="H72" s="504"/>
      <c r="I72" s="494"/>
      <c r="J72" s="494"/>
      <c r="K72" s="494"/>
      <c r="L72" s="494"/>
      <c r="M72" s="494"/>
      <c r="N72" s="494"/>
      <c r="O72" s="494"/>
    </row>
    <row r="73" spans="3:24" x14ac:dyDescent="0.3">
      <c r="K73" s="494"/>
      <c r="L73" s="494"/>
      <c r="M73" s="494"/>
      <c r="N73" s="494"/>
      <c r="O73" s="494"/>
    </row>
    <row r="74" spans="3:24" x14ac:dyDescent="0.3">
      <c r="K74" s="494"/>
      <c r="L74" s="494"/>
      <c r="M74" s="494"/>
      <c r="N74" s="494"/>
      <c r="O74" s="494"/>
    </row>
  </sheetData>
  <mergeCells count="2">
    <mergeCell ref="B9:F9"/>
    <mergeCell ref="B10:C10"/>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9"/>
  <sheetViews>
    <sheetView topLeftCell="A59" zoomScale="85" zoomScaleNormal="85" workbookViewId="0">
      <selection activeCell="E94" sqref="E94"/>
    </sheetView>
  </sheetViews>
  <sheetFormatPr defaultColWidth="8.77734375" defaultRowHeight="14.4" x14ac:dyDescent="0.3"/>
  <cols>
    <col min="1" max="1" width="39.88671875" bestFit="1" customWidth="1"/>
    <col min="2" max="2" width="13.21875" bestFit="1" customWidth="1"/>
    <col min="3" max="4" width="11.77734375" bestFit="1" customWidth="1"/>
    <col min="5" max="5" width="13.21875" bestFit="1" customWidth="1"/>
    <col min="6" max="7" width="11.77734375" bestFit="1" customWidth="1"/>
    <col min="8" max="8" width="17.6640625" bestFit="1" customWidth="1"/>
  </cols>
  <sheetData>
    <row r="1" spans="1:8" ht="15.6" x14ac:dyDescent="0.3">
      <c r="A1" s="1916" t="s">
        <v>2242</v>
      </c>
      <c r="B1" s="1916"/>
      <c r="C1" s="1916"/>
      <c r="D1" s="1478"/>
      <c r="E1" s="1478"/>
    </row>
    <row r="2" spans="1:8" ht="15.6" x14ac:dyDescent="0.3">
      <c r="A2" s="1916" t="s">
        <v>2243</v>
      </c>
      <c r="B2" s="1916"/>
      <c r="C2" s="1916"/>
      <c r="D2" s="1478"/>
      <c r="E2" s="1478"/>
    </row>
    <row r="3" spans="1:8" x14ac:dyDescent="0.3">
      <c r="A3" s="1910" t="s">
        <v>2411</v>
      </c>
      <c r="B3" s="1910"/>
      <c r="C3" s="1910"/>
      <c r="D3" s="1478"/>
      <c r="E3" s="1478"/>
    </row>
    <row r="4" spans="1:8" x14ac:dyDescent="0.3">
      <c r="A4" s="1477" t="s">
        <v>2238</v>
      </c>
      <c r="B4" s="1911" t="s">
        <v>2242</v>
      </c>
      <c r="C4" s="1912"/>
      <c r="D4" s="1912"/>
      <c r="E4" s="1912"/>
    </row>
    <row r="5" spans="1:8" x14ac:dyDescent="0.3">
      <c r="A5" s="1817" t="s">
        <v>215</v>
      </c>
      <c r="B5" s="1913" t="s">
        <v>2411</v>
      </c>
      <c r="C5" s="1914"/>
      <c r="D5" s="1914"/>
      <c r="E5" s="1914"/>
    </row>
    <row r="6" spans="1:8" x14ac:dyDescent="0.3">
      <c r="A6" s="1817" t="s">
        <v>2238</v>
      </c>
      <c r="B6" s="1845" t="s">
        <v>2241</v>
      </c>
      <c r="C6" s="2060" t="s">
        <v>2240</v>
      </c>
      <c r="D6" s="2060"/>
      <c r="E6" s="1845" t="s">
        <v>2239</v>
      </c>
    </row>
    <row r="7" spans="1:8" x14ac:dyDescent="0.3">
      <c r="A7" s="1818" t="s">
        <v>2238</v>
      </c>
      <c r="B7" s="1845" t="s">
        <v>2235</v>
      </c>
      <c r="C7" s="1475" t="s">
        <v>2237</v>
      </c>
      <c r="D7" s="1475" t="s">
        <v>2236</v>
      </c>
      <c r="E7" s="1845" t="s">
        <v>2235</v>
      </c>
    </row>
    <row r="8" spans="1:8" x14ac:dyDescent="0.3">
      <c r="A8" s="1467" t="s">
        <v>2234</v>
      </c>
      <c r="B8" s="1472">
        <v>23042750</v>
      </c>
      <c r="C8" s="1473"/>
      <c r="D8" s="1473"/>
      <c r="E8" s="1858">
        <v>23042750</v>
      </c>
    </row>
    <row r="9" spans="1:8" x14ac:dyDescent="0.3">
      <c r="A9" s="1463" t="s">
        <v>2233</v>
      </c>
      <c r="B9" s="1471">
        <v>2333750</v>
      </c>
      <c r="C9" s="1462"/>
      <c r="D9" s="1462"/>
      <c r="E9" s="1471">
        <v>2333750</v>
      </c>
    </row>
    <row r="10" spans="1:8" x14ac:dyDescent="0.3">
      <c r="A10" s="1461" t="s">
        <v>2232</v>
      </c>
      <c r="B10" s="1468">
        <v>20709000</v>
      </c>
      <c r="C10" s="1462"/>
      <c r="D10" s="1462"/>
      <c r="E10" s="1468">
        <v>20709000</v>
      </c>
    </row>
    <row r="11" spans="1:8" x14ac:dyDescent="0.3">
      <c r="A11" s="1467" t="s">
        <v>2231</v>
      </c>
      <c r="B11" s="1469">
        <v>22718997.329999998</v>
      </c>
      <c r="C11" s="1465">
        <v>94174757.730000004</v>
      </c>
      <c r="D11" s="1465">
        <v>57552135.479999997</v>
      </c>
      <c r="E11" s="1464">
        <v>13903624.92</v>
      </c>
    </row>
    <row r="12" spans="1:8" x14ac:dyDescent="0.3">
      <c r="A12" s="1463" t="s">
        <v>2230</v>
      </c>
      <c r="B12" s="1455">
        <v>4623707.3600000003</v>
      </c>
      <c r="C12" s="1459">
        <v>5251376.4800000004</v>
      </c>
      <c r="D12" s="1459">
        <v>5376808.9100000001</v>
      </c>
      <c r="E12" s="1778">
        <v>4498274.93</v>
      </c>
      <c r="F12" s="1846"/>
      <c r="H12" s="1847"/>
    </row>
    <row r="13" spans="1:8" x14ac:dyDescent="0.3">
      <c r="A13" s="1463" t="s">
        <v>2228</v>
      </c>
      <c r="B13" s="1471">
        <v>13103210.800000001</v>
      </c>
      <c r="C13" s="1459">
        <v>72529294.840000004</v>
      </c>
      <c r="D13" s="1459">
        <v>49688929.869999997</v>
      </c>
      <c r="E13" s="1778">
        <v>9737154.1699999999</v>
      </c>
      <c r="F13" s="1455">
        <v>8337154</v>
      </c>
      <c r="G13" s="1541">
        <f>E13-F13</f>
        <v>1400000.17</v>
      </c>
      <c r="H13">
        <v>239838</v>
      </c>
    </row>
    <row r="14" spans="1:8" x14ac:dyDescent="0.3">
      <c r="A14" s="1463" t="s">
        <v>2227</v>
      </c>
      <c r="B14" s="1848">
        <v>14239493.890000001</v>
      </c>
      <c r="C14" s="1849">
        <v>16394086.41</v>
      </c>
      <c r="D14" s="1849">
        <v>2486396.7000000002</v>
      </c>
      <c r="E14" s="1808">
        <v>331804.18</v>
      </c>
      <c r="F14" s="1848"/>
    </row>
    <row r="15" spans="1:8" x14ac:dyDescent="0.3">
      <c r="A15" s="1850" t="s">
        <v>2385</v>
      </c>
      <c r="B15" s="1468">
        <v>441178.41</v>
      </c>
      <c r="C15" s="1456">
        <v>2320897.41</v>
      </c>
      <c r="D15" s="1456">
        <v>1890947.64</v>
      </c>
      <c r="E15" s="1777">
        <v>11228.64</v>
      </c>
    </row>
    <row r="16" spans="1:8" x14ac:dyDescent="0.3">
      <c r="A16" s="1851" t="s">
        <v>2386</v>
      </c>
      <c r="B16" s="1468">
        <v>17936.12</v>
      </c>
      <c r="C16" s="1456">
        <v>18053</v>
      </c>
      <c r="D16" s="1456">
        <v>35101.22</v>
      </c>
      <c r="E16" s="1777">
        <v>34984.339999999997</v>
      </c>
    </row>
    <row r="17" spans="1:7" x14ac:dyDescent="0.3">
      <c r="A17" s="1852" t="s">
        <v>2387</v>
      </c>
      <c r="B17" s="1471">
        <v>92500</v>
      </c>
      <c r="C17" s="1456">
        <v>90000</v>
      </c>
      <c r="D17" s="1456">
        <v>90000</v>
      </c>
      <c r="E17" s="1780">
        <v>92500</v>
      </c>
      <c r="F17" s="1471"/>
    </row>
    <row r="18" spans="1:7" x14ac:dyDescent="0.3">
      <c r="A18" s="1852" t="s">
        <v>1807</v>
      </c>
      <c r="B18" s="1471">
        <v>133090.96</v>
      </c>
      <c r="C18" s="1460"/>
      <c r="D18" s="1460"/>
      <c r="E18" s="1780">
        <v>133090.96</v>
      </c>
    </row>
    <row r="19" spans="1:7" x14ac:dyDescent="0.3">
      <c r="A19" s="1852" t="s">
        <v>2388</v>
      </c>
      <c r="B19" s="1471">
        <v>27437.4</v>
      </c>
      <c r="C19" s="1456">
        <v>78376</v>
      </c>
      <c r="D19" s="1456">
        <v>50938.84</v>
      </c>
      <c r="E19" s="1471">
        <v>0.24</v>
      </c>
    </row>
    <row r="20" spans="1:7" x14ac:dyDescent="0.3">
      <c r="A20" s="1850" t="s">
        <v>2389</v>
      </c>
      <c r="B20" s="1468">
        <v>5775525</v>
      </c>
      <c r="C20" s="1456">
        <v>6128275</v>
      </c>
      <c r="D20" s="1456">
        <v>412750</v>
      </c>
      <c r="E20" s="1777">
        <v>60000</v>
      </c>
    </row>
    <row r="21" spans="1:7" x14ac:dyDescent="0.3">
      <c r="A21" s="1851" t="s">
        <v>2390</v>
      </c>
      <c r="B21" s="1468">
        <v>7751826</v>
      </c>
      <c r="C21" s="1456">
        <v>7758485</v>
      </c>
      <c r="D21" s="1456">
        <v>6659</v>
      </c>
      <c r="E21" s="1460"/>
    </row>
    <row r="22" spans="1:7" x14ac:dyDescent="0.3">
      <c r="A22" s="1467" t="s">
        <v>2183</v>
      </c>
      <c r="B22" s="1464">
        <v>42409360.420000002</v>
      </c>
      <c r="C22" s="1465">
        <v>92526000.859999999</v>
      </c>
      <c r="D22" s="1465">
        <v>128128920.05</v>
      </c>
      <c r="E22" s="1464">
        <v>6806441.2300000004</v>
      </c>
    </row>
    <row r="23" spans="1:7" x14ac:dyDescent="0.3">
      <c r="A23" s="1461" t="s">
        <v>2226</v>
      </c>
      <c r="B23" s="1458">
        <v>259481.23</v>
      </c>
      <c r="C23" s="1462"/>
      <c r="D23" s="1462"/>
      <c r="E23" s="1458">
        <v>259481.23</v>
      </c>
    </row>
    <row r="24" spans="1:7" x14ac:dyDescent="0.3">
      <c r="A24" s="1463" t="s">
        <v>2225</v>
      </c>
      <c r="B24" s="1455">
        <v>14971191.68</v>
      </c>
      <c r="C24" s="1462"/>
      <c r="D24" s="1459">
        <v>14866565.039999999</v>
      </c>
      <c r="E24" s="1455">
        <v>104626.64</v>
      </c>
      <c r="G24">
        <v>259200</v>
      </c>
    </row>
    <row r="25" spans="1:7" x14ac:dyDescent="0.3">
      <c r="A25" s="1463" t="s">
        <v>2224</v>
      </c>
      <c r="B25" s="1455">
        <v>18381368.879999999</v>
      </c>
      <c r="C25" s="1459">
        <v>36263997.549999997</v>
      </c>
      <c r="D25" s="1459">
        <v>49253910.119999997</v>
      </c>
      <c r="E25" s="1778">
        <v>5391456.3099999996</v>
      </c>
      <c r="F25">
        <v>6791456</v>
      </c>
      <c r="G25" s="1857">
        <f>E25-F25</f>
        <v>-1399999.6900000004</v>
      </c>
    </row>
    <row r="26" spans="1:7" x14ac:dyDescent="0.3">
      <c r="A26" s="1463" t="s">
        <v>2223</v>
      </c>
      <c r="B26" s="1455">
        <v>852</v>
      </c>
      <c r="C26" s="1459">
        <v>6659</v>
      </c>
      <c r="D26" s="1462"/>
      <c r="E26" s="1778">
        <v>7511</v>
      </c>
    </row>
    <row r="27" spans="1:7" x14ac:dyDescent="0.3">
      <c r="A27" s="1463" t="s">
        <v>2222</v>
      </c>
      <c r="B27" s="1853">
        <v>8086192.6299999999</v>
      </c>
      <c r="C27" s="1849">
        <v>55988354.310000002</v>
      </c>
      <c r="D27" s="1849">
        <v>64008444.890000001</v>
      </c>
      <c r="E27" s="1806">
        <v>66102.05</v>
      </c>
    </row>
    <row r="28" spans="1:7" x14ac:dyDescent="0.3">
      <c r="A28" s="1852" t="s">
        <v>2412</v>
      </c>
      <c r="B28" s="1455">
        <v>440910.31</v>
      </c>
      <c r="C28" s="1456">
        <v>7297800</v>
      </c>
      <c r="D28" s="1456">
        <v>7711927</v>
      </c>
      <c r="E28" s="1778">
        <v>26783.31</v>
      </c>
    </row>
    <row r="29" spans="1:7" x14ac:dyDescent="0.3">
      <c r="A29" s="1852" t="s">
        <v>2413</v>
      </c>
      <c r="B29" s="1455">
        <v>7645282.3200000003</v>
      </c>
      <c r="C29" s="1456">
        <v>48690554.310000002</v>
      </c>
      <c r="D29" s="1456">
        <v>56296517.890000001</v>
      </c>
      <c r="E29" s="1778">
        <v>39318.74</v>
      </c>
    </row>
    <row r="30" spans="1:7" x14ac:dyDescent="0.3">
      <c r="A30" s="1463" t="s">
        <v>1987</v>
      </c>
      <c r="B30" s="1853">
        <v>65481</v>
      </c>
      <c r="C30" s="1849">
        <v>266990</v>
      </c>
      <c r="D30" s="1854"/>
      <c r="E30" s="1806">
        <v>332471</v>
      </c>
    </row>
    <row r="31" spans="1:7" x14ac:dyDescent="0.3">
      <c r="A31" s="1852" t="s">
        <v>2414</v>
      </c>
      <c r="B31" s="1462"/>
      <c r="C31" s="1456">
        <v>266990</v>
      </c>
      <c r="D31" s="1460"/>
      <c r="E31" s="1778">
        <v>266990</v>
      </c>
    </row>
    <row r="32" spans="1:7" x14ac:dyDescent="0.3">
      <c r="A32" s="1852" t="s">
        <v>2415</v>
      </c>
      <c r="B32" s="1455">
        <v>5001</v>
      </c>
      <c r="C32" s="1460"/>
      <c r="D32" s="1460"/>
      <c r="E32" s="1778">
        <v>5001</v>
      </c>
    </row>
    <row r="33" spans="1:6" x14ac:dyDescent="0.3">
      <c r="A33" s="1855" t="s">
        <v>2416</v>
      </c>
      <c r="B33" s="1455">
        <v>60480</v>
      </c>
      <c r="C33" s="1460"/>
      <c r="D33" s="1460"/>
      <c r="E33" s="1778">
        <v>60480</v>
      </c>
    </row>
    <row r="34" spans="1:6" x14ac:dyDescent="0.3">
      <c r="A34" s="1461" t="s">
        <v>2221</v>
      </c>
      <c r="B34" s="1458">
        <v>644793</v>
      </c>
      <c r="C34" s="1462"/>
      <c r="D34" s="1462"/>
      <c r="E34" s="1776">
        <v>644793</v>
      </c>
    </row>
    <row r="35" spans="1:6" x14ac:dyDescent="0.3">
      <c r="A35" s="1467" t="s">
        <v>2220</v>
      </c>
      <c r="B35" s="1466"/>
      <c r="C35" s="1465">
        <v>2544</v>
      </c>
      <c r="D35" s="1465">
        <v>2544</v>
      </c>
      <c r="E35" s="1466"/>
    </row>
    <row r="36" spans="1:6" x14ac:dyDescent="0.3">
      <c r="A36" s="1461" t="s">
        <v>2219</v>
      </c>
      <c r="B36" s="1468">
        <v>3749976.3</v>
      </c>
      <c r="C36" s="1462"/>
      <c r="D36" s="1459">
        <v>2544</v>
      </c>
      <c r="E36" s="1468">
        <v>3752520.3</v>
      </c>
    </row>
    <row r="37" spans="1:6" x14ac:dyDescent="0.3">
      <c r="A37" s="1461" t="s">
        <v>2218</v>
      </c>
      <c r="B37" s="1458">
        <v>3749976.3</v>
      </c>
      <c r="C37" s="1459">
        <v>2544</v>
      </c>
      <c r="D37" s="1462"/>
      <c r="E37" s="1458">
        <v>3752520.3</v>
      </c>
    </row>
    <row r="38" spans="1:6" x14ac:dyDescent="0.3">
      <c r="A38" s="1467" t="s">
        <v>2217</v>
      </c>
      <c r="B38" s="1466"/>
      <c r="C38" s="1465">
        <v>4810</v>
      </c>
      <c r="D38" s="1465">
        <v>29713510.600000001</v>
      </c>
      <c r="E38" s="1469">
        <v>29708700.600000001</v>
      </c>
    </row>
    <row r="39" spans="1:6" x14ac:dyDescent="0.3">
      <c r="A39" s="1461" t="s">
        <v>2379</v>
      </c>
      <c r="B39" s="1460"/>
      <c r="C39" s="1459">
        <v>4810</v>
      </c>
      <c r="D39" s="1462"/>
      <c r="E39" s="1458">
        <v>4810</v>
      </c>
    </row>
    <row r="40" spans="1:6" x14ac:dyDescent="0.3">
      <c r="A40" s="1461" t="s">
        <v>2216</v>
      </c>
      <c r="B40" s="1460"/>
      <c r="C40" s="1462"/>
      <c r="D40" s="1459">
        <v>29713510.600000001</v>
      </c>
      <c r="E40" s="1468">
        <v>29713510.600000001</v>
      </c>
    </row>
    <row r="41" spans="1:6" x14ac:dyDescent="0.3">
      <c r="A41" s="1467" t="s">
        <v>2215</v>
      </c>
      <c r="B41" s="1466"/>
      <c r="C41" s="1465">
        <v>28487160.710000001</v>
      </c>
      <c r="D41" s="1470"/>
      <c r="E41" s="1464">
        <v>28487160.710000001</v>
      </c>
    </row>
    <row r="42" spans="1:6" x14ac:dyDescent="0.3">
      <c r="A42" s="1461" t="s">
        <v>2214</v>
      </c>
      <c r="B42" s="1460"/>
      <c r="C42" s="1459">
        <v>28487160.710000001</v>
      </c>
      <c r="D42" s="1462"/>
      <c r="E42" s="1458">
        <v>28487160.710000001</v>
      </c>
    </row>
    <row r="43" spans="1:6" x14ac:dyDescent="0.3">
      <c r="A43" s="1467" t="s">
        <v>2213</v>
      </c>
      <c r="B43" s="1466"/>
      <c r="C43" s="1465">
        <v>66634</v>
      </c>
      <c r="D43" s="1470"/>
      <c r="E43" s="1464">
        <v>66634</v>
      </c>
    </row>
    <row r="44" spans="1:6" x14ac:dyDescent="0.3">
      <c r="A44" s="1461" t="s">
        <v>2212</v>
      </c>
      <c r="B44" s="1460"/>
      <c r="C44" s="1459">
        <v>66634</v>
      </c>
      <c r="D44" s="1462"/>
      <c r="E44" s="1458">
        <v>66634</v>
      </c>
    </row>
    <row r="45" spans="1:6" x14ac:dyDescent="0.3">
      <c r="A45" s="1467" t="s">
        <v>2211</v>
      </c>
      <c r="B45" s="1466"/>
      <c r="C45" s="1470"/>
      <c r="D45" s="1465">
        <v>2799043</v>
      </c>
      <c r="E45" s="1469">
        <v>2799043</v>
      </c>
      <c r="F45" s="1469">
        <v>2799043</v>
      </c>
    </row>
    <row r="46" spans="1:6" x14ac:dyDescent="0.3">
      <c r="A46" s="1461" t="s">
        <v>2210</v>
      </c>
      <c r="B46" s="1460"/>
      <c r="C46" s="1462"/>
      <c r="D46" s="1459">
        <v>2799043</v>
      </c>
      <c r="E46" s="1468">
        <v>2799043</v>
      </c>
    </row>
    <row r="47" spans="1:6" x14ac:dyDescent="0.3">
      <c r="A47" s="1467" t="s">
        <v>2209</v>
      </c>
      <c r="B47" s="1466"/>
      <c r="C47" s="1465">
        <v>2934252.17</v>
      </c>
      <c r="D47" s="1465">
        <v>6.34</v>
      </c>
      <c r="E47" s="1464">
        <v>2934245.83</v>
      </c>
    </row>
    <row r="48" spans="1:6" x14ac:dyDescent="0.3">
      <c r="A48" s="1463" t="s">
        <v>2208</v>
      </c>
      <c r="B48" s="1462"/>
      <c r="C48" s="1459">
        <v>9861.89</v>
      </c>
      <c r="D48" s="1462"/>
      <c r="E48" s="1455">
        <v>9861.89</v>
      </c>
    </row>
    <row r="49" spans="1:5" x14ac:dyDescent="0.3">
      <c r="A49" s="1461" t="s">
        <v>2291</v>
      </c>
      <c r="B49" s="1460"/>
      <c r="C49" s="1459">
        <v>22360</v>
      </c>
      <c r="D49" s="1462"/>
      <c r="E49" s="1458">
        <v>22360</v>
      </c>
    </row>
    <row r="50" spans="1:5" x14ac:dyDescent="0.3">
      <c r="A50" s="1461" t="s">
        <v>2207</v>
      </c>
      <c r="B50" s="1460"/>
      <c r="C50" s="1459">
        <v>317700</v>
      </c>
      <c r="D50" s="1462"/>
      <c r="E50" s="1458">
        <v>317700</v>
      </c>
    </row>
    <row r="51" spans="1:5" x14ac:dyDescent="0.3">
      <c r="A51" s="1461" t="s">
        <v>1373</v>
      </c>
      <c r="B51" s="1460"/>
      <c r="C51" s="1459">
        <v>100000</v>
      </c>
      <c r="D51" s="1462"/>
      <c r="E51" s="1458">
        <v>100000</v>
      </c>
    </row>
    <row r="52" spans="1:5" x14ac:dyDescent="0.3">
      <c r="A52" s="1461" t="s">
        <v>2206</v>
      </c>
      <c r="B52" s="1460"/>
      <c r="C52" s="1459">
        <v>15000</v>
      </c>
      <c r="D52" s="1462"/>
      <c r="E52" s="1458">
        <v>15000</v>
      </c>
    </row>
    <row r="53" spans="1:5" x14ac:dyDescent="0.3">
      <c r="A53" s="1856" t="s">
        <v>2380</v>
      </c>
      <c r="B53" s="1460"/>
      <c r="C53" s="1459">
        <v>160337</v>
      </c>
      <c r="D53" s="1462"/>
      <c r="E53" s="1458">
        <v>160337</v>
      </c>
    </row>
    <row r="54" spans="1:5" x14ac:dyDescent="0.3">
      <c r="A54" s="1461" t="s">
        <v>2381</v>
      </c>
      <c r="B54" s="1460"/>
      <c r="C54" s="1459">
        <v>7080</v>
      </c>
      <c r="D54" s="1462"/>
      <c r="E54" s="1458">
        <v>7080</v>
      </c>
    </row>
    <row r="55" spans="1:5" x14ac:dyDescent="0.3">
      <c r="A55" s="1461" t="s">
        <v>2205</v>
      </c>
      <c r="B55" s="1460"/>
      <c r="C55" s="1459">
        <v>39863.03</v>
      </c>
      <c r="D55" s="1462"/>
      <c r="E55" s="1458">
        <v>39863.03</v>
      </c>
    </row>
    <row r="56" spans="1:5" x14ac:dyDescent="0.3">
      <c r="A56" s="1461" t="s">
        <v>2382</v>
      </c>
      <c r="B56" s="1460"/>
      <c r="C56" s="1459">
        <v>18250</v>
      </c>
      <c r="D56" s="1462"/>
      <c r="E56" s="1458">
        <v>18250</v>
      </c>
    </row>
    <row r="57" spans="1:5" x14ac:dyDescent="0.3">
      <c r="A57" s="1461" t="s">
        <v>2204</v>
      </c>
      <c r="B57" s="1460"/>
      <c r="C57" s="1459">
        <v>49863</v>
      </c>
      <c r="D57" s="1462"/>
      <c r="E57" s="1458">
        <v>49863</v>
      </c>
    </row>
    <row r="58" spans="1:5" x14ac:dyDescent="0.3">
      <c r="A58" s="1461" t="s">
        <v>2163</v>
      </c>
      <c r="B58" s="1460"/>
      <c r="C58" s="1459">
        <v>792</v>
      </c>
      <c r="D58" s="1462"/>
      <c r="E58" s="1458">
        <v>792</v>
      </c>
    </row>
    <row r="59" spans="1:5" x14ac:dyDescent="0.3">
      <c r="A59" s="1461" t="s">
        <v>2201</v>
      </c>
      <c r="B59" s="1460"/>
      <c r="C59" s="1459">
        <v>156000</v>
      </c>
      <c r="D59" s="1462"/>
      <c r="E59" s="1458">
        <v>156000</v>
      </c>
    </row>
    <row r="60" spans="1:5" x14ac:dyDescent="0.3">
      <c r="A60" s="1461" t="s">
        <v>2200</v>
      </c>
      <c r="B60" s="1460"/>
      <c r="C60" s="1459">
        <v>150000</v>
      </c>
      <c r="D60" s="1462"/>
      <c r="E60" s="1458">
        <v>150000</v>
      </c>
    </row>
    <row r="61" spans="1:5" x14ac:dyDescent="0.3">
      <c r="A61" s="1461" t="s">
        <v>2199</v>
      </c>
      <c r="B61" s="1460"/>
      <c r="C61" s="1459">
        <v>486000</v>
      </c>
      <c r="D61" s="1462"/>
      <c r="E61" s="1458">
        <v>486000</v>
      </c>
    </row>
    <row r="62" spans="1:5" x14ac:dyDescent="0.3">
      <c r="A62" s="1461" t="s">
        <v>2198</v>
      </c>
      <c r="B62" s="1460"/>
      <c r="C62" s="1459">
        <v>56569</v>
      </c>
      <c r="D62" s="1462"/>
      <c r="E62" s="1458">
        <v>56569</v>
      </c>
    </row>
    <row r="63" spans="1:5" x14ac:dyDescent="0.3">
      <c r="A63" s="1461" t="s">
        <v>2383</v>
      </c>
      <c r="B63" s="1460"/>
      <c r="C63" s="1459">
        <v>127000</v>
      </c>
      <c r="D63" s="1462"/>
      <c r="E63" s="1458">
        <v>127000</v>
      </c>
    </row>
    <row r="64" spans="1:5" x14ac:dyDescent="0.3">
      <c r="A64" s="1461" t="s">
        <v>2196</v>
      </c>
      <c r="B64" s="1460"/>
      <c r="C64" s="1459">
        <v>1117058.6299999999</v>
      </c>
      <c r="D64" s="1462"/>
      <c r="E64" s="1458">
        <v>1117058.6299999999</v>
      </c>
    </row>
    <row r="65" spans="1:5" x14ac:dyDescent="0.3">
      <c r="A65" s="1461" t="s">
        <v>272</v>
      </c>
      <c r="B65" s="1460"/>
      <c r="C65" s="1459">
        <v>14000</v>
      </c>
      <c r="D65" s="1462"/>
      <c r="E65" s="1458">
        <v>14000</v>
      </c>
    </row>
    <row r="66" spans="1:5" x14ac:dyDescent="0.3">
      <c r="A66" s="1461" t="s">
        <v>2195</v>
      </c>
      <c r="B66" s="1460"/>
      <c r="C66" s="1459">
        <v>86487</v>
      </c>
      <c r="D66" s="1462"/>
      <c r="E66" s="1458">
        <v>86487</v>
      </c>
    </row>
    <row r="67" spans="1:5" x14ac:dyDescent="0.3">
      <c r="A67" s="1461" t="s">
        <v>2194</v>
      </c>
      <c r="B67" s="1460"/>
      <c r="C67" s="1459">
        <v>30.62</v>
      </c>
      <c r="D67" s="1459">
        <v>6.34</v>
      </c>
      <c r="E67" s="1458">
        <v>24.28</v>
      </c>
    </row>
    <row r="68" spans="1:5" x14ac:dyDescent="0.3">
      <c r="A68" s="1457" t="s">
        <v>2193</v>
      </c>
      <c r="B68" s="1455">
        <v>3352386.91</v>
      </c>
      <c r="C68" s="1460"/>
      <c r="D68" s="1460"/>
      <c r="E68" s="1455">
        <v>3352386.91</v>
      </c>
    </row>
    <row r="69" spans="1:5" x14ac:dyDescent="0.3">
      <c r="A69" s="1454" t="s">
        <v>2192</v>
      </c>
      <c r="B69" s="1452"/>
      <c r="C69" s="1453">
        <v>218196159.47</v>
      </c>
      <c r="D69" s="1453">
        <v>218196159.47</v>
      </c>
      <c r="E69" s="1452"/>
    </row>
    <row r="74" spans="1:5" ht="15.6" x14ac:dyDescent="0.3">
      <c r="A74" s="1916" t="s">
        <v>2242</v>
      </c>
      <c r="B74" s="1916"/>
      <c r="C74" s="1916"/>
      <c r="D74" s="1478"/>
      <c r="E74" s="1478"/>
    </row>
    <row r="75" spans="1:5" ht="15.6" x14ac:dyDescent="0.3">
      <c r="A75" s="1916" t="s">
        <v>2228</v>
      </c>
      <c r="B75" s="1916"/>
      <c r="C75" s="1916"/>
      <c r="D75" s="1478"/>
      <c r="E75" s="1478"/>
    </row>
    <row r="76" spans="1:5" x14ac:dyDescent="0.3">
      <c r="A76" s="1910" t="s">
        <v>2392</v>
      </c>
      <c r="B76" s="1910"/>
      <c r="C76" s="1910"/>
      <c r="D76" s="1478"/>
      <c r="E76" s="1478"/>
    </row>
    <row r="77" spans="1:5" x14ac:dyDescent="0.3">
      <c r="A77" s="1910" t="s">
        <v>2411</v>
      </c>
      <c r="B77" s="1910"/>
      <c r="C77" s="1910"/>
      <c r="D77" s="1478"/>
      <c r="E77" s="1478"/>
    </row>
    <row r="78" spans="1:5" x14ac:dyDescent="0.3">
      <c r="A78" s="1477" t="s">
        <v>2238</v>
      </c>
      <c r="B78" s="2061" t="s">
        <v>2228</v>
      </c>
      <c r="C78" s="2061"/>
      <c r="D78" s="2061"/>
      <c r="E78" s="2061"/>
    </row>
    <row r="79" spans="1:5" x14ac:dyDescent="0.3">
      <c r="A79" s="1819" t="s">
        <v>2238</v>
      </c>
      <c r="B79" s="2062" t="s">
        <v>2242</v>
      </c>
      <c r="C79" s="2063"/>
      <c r="D79" s="2063"/>
      <c r="E79" s="2063"/>
    </row>
    <row r="80" spans="1:5" x14ac:dyDescent="0.3">
      <c r="A80" s="1817" t="s">
        <v>215</v>
      </c>
      <c r="B80" s="1913" t="s">
        <v>2411</v>
      </c>
      <c r="C80" s="1914"/>
      <c r="D80" s="1914"/>
      <c r="E80" s="1914"/>
    </row>
    <row r="81" spans="1:8" x14ac:dyDescent="0.3">
      <c r="A81" s="1817" t="s">
        <v>2238</v>
      </c>
      <c r="B81" s="1908" t="s">
        <v>659</v>
      </c>
      <c r="C81" s="1909"/>
      <c r="D81" s="1908" t="s">
        <v>1628</v>
      </c>
      <c r="E81" s="1909"/>
    </row>
    <row r="82" spans="1:8" x14ac:dyDescent="0.3">
      <c r="A82" s="1818" t="s">
        <v>2238</v>
      </c>
      <c r="B82" s="1475" t="s">
        <v>2237</v>
      </c>
      <c r="C82" s="1475" t="s">
        <v>2236</v>
      </c>
      <c r="D82" s="1475" t="s">
        <v>2237</v>
      </c>
      <c r="E82" s="1475" t="s">
        <v>2236</v>
      </c>
    </row>
    <row r="83" spans="1:8" x14ac:dyDescent="0.3">
      <c r="A83" s="1457" t="s">
        <v>2393</v>
      </c>
      <c r="B83" s="1459">
        <v>1000000</v>
      </c>
      <c r="C83" s="1462"/>
      <c r="D83" s="1840">
        <v>70000</v>
      </c>
      <c r="E83" s="1462"/>
    </row>
    <row r="84" spans="1:8" x14ac:dyDescent="0.3">
      <c r="A84" s="1457" t="s">
        <v>2394</v>
      </c>
      <c r="B84" s="1459">
        <v>247065.25</v>
      </c>
      <c r="C84" s="1462"/>
      <c r="D84" s="1840">
        <v>247065.25</v>
      </c>
      <c r="E84" s="1462"/>
    </row>
    <row r="85" spans="1:8" x14ac:dyDescent="0.3">
      <c r="A85" s="1457" t="s">
        <v>2395</v>
      </c>
      <c r="B85" s="1459">
        <v>1400000</v>
      </c>
      <c r="C85" s="1462"/>
      <c r="D85" s="1840">
        <v>1400000</v>
      </c>
      <c r="E85" s="1462"/>
    </row>
    <row r="86" spans="1:8" x14ac:dyDescent="0.3">
      <c r="A86" s="1457" t="s">
        <v>2396</v>
      </c>
      <c r="B86" s="1462"/>
      <c r="C86" s="1459">
        <v>5749.5</v>
      </c>
      <c r="D86" s="1841"/>
      <c r="E86" s="1462"/>
    </row>
    <row r="87" spans="1:8" x14ac:dyDescent="0.3">
      <c r="A87" s="1457" t="s">
        <v>2397</v>
      </c>
      <c r="B87" s="1459">
        <v>491939.99</v>
      </c>
      <c r="C87" s="1462"/>
      <c r="D87" s="1841"/>
      <c r="E87" s="1462"/>
    </row>
    <row r="88" spans="1:8" x14ac:dyDescent="0.3">
      <c r="A88" s="1457" t="s">
        <v>2398</v>
      </c>
      <c r="B88" s="1462"/>
      <c r="C88" s="1459">
        <v>980000</v>
      </c>
      <c r="D88" s="1841"/>
      <c r="E88" s="1462"/>
    </row>
    <row r="89" spans="1:8" x14ac:dyDescent="0.3">
      <c r="A89" s="1457" t="s">
        <v>2399</v>
      </c>
      <c r="B89" s="1459">
        <v>159676.6</v>
      </c>
      <c r="C89" s="1462"/>
      <c r="D89" s="1841"/>
      <c r="E89" s="1462"/>
      <c r="H89" s="1541">
        <f>F90-E94</f>
        <v>8020088.9199999999</v>
      </c>
    </row>
    <row r="90" spans="1:8" x14ac:dyDescent="0.3">
      <c r="A90" s="1467" t="s">
        <v>2400</v>
      </c>
      <c r="B90" s="1810">
        <v>7647175.1900000004</v>
      </c>
      <c r="C90" s="1810">
        <v>19211994.129999999</v>
      </c>
      <c r="D90" s="1842">
        <v>14373433.859999999</v>
      </c>
      <c r="E90" s="1810">
        <v>6185420.3399999999</v>
      </c>
      <c r="F90" s="1541">
        <f>D90-E90</f>
        <v>8188013.5199999996</v>
      </c>
      <c r="G90" s="1541"/>
    </row>
    <row r="91" spans="1:8" x14ac:dyDescent="0.3">
      <c r="A91" s="1457" t="s">
        <v>2401</v>
      </c>
      <c r="B91" s="1459">
        <v>410000</v>
      </c>
      <c r="C91" s="1462"/>
      <c r="D91" s="1462"/>
      <c r="E91" s="1462"/>
      <c r="F91" s="1541"/>
    </row>
    <row r="92" spans="1:8" x14ac:dyDescent="0.3">
      <c r="A92" s="1457" t="s">
        <v>2402</v>
      </c>
      <c r="B92" s="1459">
        <v>200000</v>
      </c>
      <c r="C92" s="1462"/>
      <c r="D92" s="1462"/>
      <c r="E92" s="1462"/>
    </row>
    <row r="93" spans="1:8" x14ac:dyDescent="0.3">
      <c r="A93" s="1457" t="s">
        <v>2403</v>
      </c>
      <c r="B93" s="1459">
        <v>200000</v>
      </c>
      <c r="C93" s="1462"/>
      <c r="D93" s="1462"/>
      <c r="E93" s="1462"/>
      <c r="G93" s="1541">
        <f>F90+D85+D84+D83</f>
        <v>9905078.7699999996</v>
      </c>
    </row>
    <row r="94" spans="1:8" x14ac:dyDescent="0.3">
      <c r="A94" s="1457" t="s">
        <v>2404</v>
      </c>
      <c r="B94" s="1462"/>
      <c r="C94" s="1462"/>
      <c r="D94" s="1462"/>
      <c r="E94" s="1459">
        <v>167924.6</v>
      </c>
    </row>
    <row r="95" spans="1:8" x14ac:dyDescent="0.3">
      <c r="A95" s="1457" t="s">
        <v>2405</v>
      </c>
      <c r="B95" s="1462"/>
      <c r="C95" s="1459">
        <v>485695.6</v>
      </c>
      <c r="D95" s="1462"/>
      <c r="E95" s="1462"/>
    </row>
    <row r="96" spans="1:8" x14ac:dyDescent="0.3">
      <c r="A96" s="1457" t="s">
        <v>2406</v>
      </c>
      <c r="B96" s="1462"/>
      <c r="C96" s="1459">
        <v>84111</v>
      </c>
      <c r="D96" s="1462"/>
      <c r="E96" s="1462"/>
    </row>
    <row r="97" spans="1:6" x14ac:dyDescent="0.3">
      <c r="A97" s="1457" t="s">
        <v>2407</v>
      </c>
      <c r="B97" s="1459">
        <v>430190</v>
      </c>
      <c r="C97" s="1462"/>
      <c r="D97" s="1462"/>
      <c r="E97" s="1462"/>
    </row>
    <row r="98" spans="1:6" x14ac:dyDescent="0.3">
      <c r="A98" s="1467" t="s">
        <v>2408</v>
      </c>
      <c r="B98" s="1820"/>
      <c r="C98" s="1810">
        <v>4521707.5999999996</v>
      </c>
      <c r="D98" s="1810">
        <v>3420949.6</v>
      </c>
      <c r="E98" s="1810">
        <v>3420949.6</v>
      </c>
    </row>
    <row r="99" spans="1:6" x14ac:dyDescent="0.3">
      <c r="A99" s="1454" t="s">
        <v>2192</v>
      </c>
      <c r="B99" s="1811">
        <v>12186047.029999999</v>
      </c>
      <c r="C99" s="1811">
        <v>25289257.829999998</v>
      </c>
      <c r="D99" s="1811">
        <v>19511448.710000001</v>
      </c>
      <c r="E99" s="1811">
        <v>9774294.5399999991</v>
      </c>
      <c r="F99" s="1541">
        <f>D99-E99</f>
        <v>9737154.1700000018</v>
      </c>
    </row>
  </sheetData>
  <autoFilter ref="A74:H99">
    <filterColumn colId="0" showButton="0"/>
    <filterColumn colId="1" showButton="0"/>
  </autoFilter>
  <mergeCells count="15">
    <mergeCell ref="B80:E80"/>
    <mergeCell ref="B81:C81"/>
    <mergeCell ref="D81:E81"/>
    <mergeCell ref="A74:C74"/>
    <mergeCell ref="A75:C75"/>
    <mergeCell ref="A76:C76"/>
    <mergeCell ref="A77:C77"/>
    <mergeCell ref="B78:E78"/>
    <mergeCell ref="B79:E79"/>
    <mergeCell ref="C6:D6"/>
    <mergeCell ref="A1:C1"/>
    <mergeCell ref="A2:C2"/>
    <mergeCell ref="A3:C3"/>
    <mergeCell ref="B4:E4"/>
    <mergeCell ref="B5:E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topLeftCell="A9" workbookViewId="0">
      <selection activeCell="I20" sqref="I20"/>
    </sheetView>
  </sheetViews>
  <sheetFormatPr defaultRowHeight="14.4" x14ac:dyDescent="0.3"/>
  <cols>
    <col min="1" max="1" width="25.6640625" bestFit="1" customWidth="1"/>
    <col min="8" max="8" width="24.33203125" bestFit="1" customWidth="1"/>
    <col min="9" max="10" width="14.6640625" bestFit="1" customWidth="1"/>
    <col min="14" max="14" width="9.88671875" bestFit="1" customWidth="1"/>
  </cols>
  <sheetData>
    <row r="1" spans="1:10" ht="15" thickBot="1" x14ac:dyDescent="0.35">
      <c r="A1" s="2064" t="s">
        <v>2333</v>
      </c>
      <c r="B1" s="2064"/>
      <c r="C1" s="1536"/>
      <c r="D1" s="2064" t="s">
        <v>2334</v>
      </c>
      <c r="E1" s="2064"/>
      <c r="F1" s="1536"/>
      <c r="G1" s="1536"/>
      <c r="H1" s="1536"/>
      <c r="I1" s="1843" t="s">
        <v>2420</v>
      </c>
      <c r="J1" s="1843" t="s">
        <v>2335</v>
      </c>
    </row>
    <row r="2" spans="1:10" ht="15" thickTop="1" x14ac:dyDescent="0.3">
      <c r="A2" s="244"/>
      <c r="B2" s="244"/>
      <c r="C2" s="244"/>
      <c r="D2" s="244"/>
      <c r="E2" s="244"/>
      <c r="F2" s="244"/>
      <c r="G2" s="244"/>
      <c r="H2" s="1537"/>
      <c r="I2" s="1537"/>
      <c r="J2" s="244"/>
    </row>
    <row r="3" spans="1:10" x14ac:dyDescent="0.3">
      <c r="A3" s="1538" t="s">
        <v>2336</v>
      </c>
      <c r="B3" s="1538"/>
      <c r="C3" s="244"/>
      <c r="D3" s="2065" t="s">
        <v>2337</v>
      </c>
      <c r="E3" s="2065"/>
      <c r="F3" s="244"/>
      <c r="G3" s="244"/>
      <c r="H3" s="1539" t="s">
        <v>2338</v>
      </c>
      <c r="I3" s="1540">
        <f>'BS PL CFL'!E109</f>
        <v>1578827.9600000009</v>
      </c>
      <c r="J3" s="1540">
        <f>'BS PL CFL'!F109</f>
        <v>760221.75999999791</v>
      </c>
    </row>
    <row r="4" spans="1:10" x14ac:dyDescent="0.3">
      <c r="A4" s="1538"/>
      <c r="B4" s="1538"/>
      <c r="C4" s="244"/>
      <c r="D4" s="244"/>
      <c r="E4" s="244"/>
      <c r="F4" s="244"/>
      <c r="G4" s="244"/>
      <c r="H4" s="1539" t="s">
        <v>2339</v>
      </c>
      <c r="I4" s="1540">
        <f>'BS PL CFL'!E102</f>
        <v>49856</v>
      </c>
      <c r="J4" s="1540">
        <f>'BS PL CFL'!F102</f>
        <v>9861.89</v>
      </c>
    </row>
    <row r="5" spans="1:10" x14ac:dyDescent="0.3">
      <c r="A5" s="244"/>
      <c r="B5" s="244"/>
      <c r="C5" s="244"/>
      <c r="D5" s="244"/>
      <c r="E5" s="244"/>
      <c r="F5" s="244"/>
      <c r="G5" s="244"/>
      <c r="H5" s="1539" t="s">
        <v>2340</v>
      </c>
      <c r="I5" s="1540">
        <f>'BS PL CFL'!E91</f>
        <v>0</v>
      </c>
      <c r="J5" s="1540">
        <f>'BS PL CFL'!F91</f>
        <v>2799043</v>
      </c>
    </row>
    <row r="6" spans="1:10" x14ac:dyDescent="0.3">
      <c r="A6" s="244"/>
      <c r="B6" s="244"/>
      <c r="C6" s="244"/>
      <c r="D6" s="244"/>
      <c r="E6" s="244"/>
      <c r="F6" s="244"/>
      <c r="G6" s="244"/>
      <c r="H6" s="1539" t="s">
        <v>2341</v>
      </c>
      <c r="I6" s="1540">
        <f>+I3+I4-I5</f>
        <v>1628683.9600000009</v>
      </c>
      <c r="J6" s="1540">
        <f>+J3+J4-J5</f>
        <v>-2028959.350000002</v>
      </c>
    </row>
    <row r="7" spans="1:10" x14ac:dyDescent="0.3">
      <c r="A7" s="244"/>
      <c r="B7" s="244"/>
      <c r="C7" s="244"/>
      <c r="D7" s="244"/>
      <c r="E7" s="244"/>
      <c r="F7" s="244"/>
      <c r="G7" s="244"/>
      <c r="H7" s="1539" t="s">
        <v>2178</v>
      </c>
      <c r="I7" s="1540">
        <f>'BS PL CFL'!E90</f>
        <v>17352507.5</v>
      </c>
      <c r="J7" s="1540">
        <f>'BS PL CFL'!F90</f>
        <v>29708700.600000001</v>
      </c>
    </row>
    <row r="8" spans="1:10" x14ac:dyDescent="0.3">
      <c r="A8" s="244"/>
      <c r="B8" s="244"/>
      <c r="C8" s="244"/>
      <c r="D8" s="244"/>
      <c r="E8" s="244"/>
      <c r="F8" s="244"/>
      <c r="G8" s="244"/>
      <c r="H8" s="1539" t="s">
        <v>2342</v>
      </c>
      <c r="I8" s="1539">
        <f>I6/I7*100</f>
        <v>9.3858709468934158</v>
      </c>
      <c r="J8" s="1539">
        <f>J6/J7*100</f>
        <v>-6.8295122607954175</v>
      </c>
    </row>
    <row r="9" spans="1:10" x14ac:dyDescent="0.3">
      <c r="A9" s="244"/>
      <c r="B9" s="244"/>
      <c r="C9" s="244"/>
      <c r="D9" s="244"/>
      <c r="E9" s="244"/>
      <c r="F9" s="244"/>
      <c r="G9" s="244"/>
      <c r="H9" s="1537"/>
      <c r="I9" s="1537"/>
      <c r="J9" s="244"/>
    </row>
    <row r="10" spans="1:10" x14ac:dyDescent="0.3">
      <c r="A10" s="244"/>
      <c r="B10" s="244"/>
      <c r="C10" s="244"/>
      <c r="D10" s="244"/>
      <c r="E10" s="244"/>
      <c r="F10" s="244"/>
      <c r="G10" s="244"/>
      <c r="H10" s="244"/>
      <c r="I10" s="244"/>
      <c r="J10" s="244"/>
    </row>
    <row r="11" spans="1:10" x14ac:dyDescent="0.3">
      <c r="A11" s="244"/>
      <c r="B11" s="244"/>
      <c r="C11" s="244"/>
      <c r="D11" s="244"/>
      <c r="E11" s="244"/>
      <c r="F11" s="244"/>
      <c r="G11" s="244"/>
      <c r="H11" s="244"/>
      <c r="I11" s="244"/>
      <c r="J11" s="244"/>
    </row>
    <row r="12" spans="1:10" x14ac:dyDescent="0.3">
      <c r="A12" s="1537" t="s">
        <v>2343</v>
      </c>
      <c r="B12" s="244"/>
      <c r="C12" s="244"/>
      <c r="D12" s="1537" t="s">
        <v>2344</v>
      </c>
      <c r="E12" s="244"/>
      <c r="F12" s="244"/>
      <c r="G12" s="244"/>
      <c r="H12" s="1539" t="s">
        <v>2345</v>
      </c>
      <c r="I12" s="1540">
        <f>'BS PL CFL'!E119</f>
        <v>1168332.9600000009</v>
      </c>
      <c r="J12" s="1540">
        <f>'BS PL CFL'!F119</f>
        <v>562564.75999999791</v>
      </c>
    </row>
    <row r="13" spans="1:10" x14ac:dyDescent="0.3">
      <c r="A13" s="244"/>
      <c r="B13" s="244"/>
      <c r="C13" s="244"/>
      <c r="D13" s="244"/>
      <c r="E13" s="244"/>
      <c r="F13" s="244"/>
      <c r="G13" s="244"/>
      <c r="H13" s="1539" t="s">
        <v>2178</v>
      </c>
      <c r="I13" s="1540">
        <f>I7</f>
        <v>17352507.5</v>
      </c>
      <c r="J13" s="1540">
        <f>J7</f>
        <v>29708700.600000001</v>
      </c>
    </row>
    <row r="14" spans="1:10" x14ac:dyDescent="0.3">
      <c r="A14" s="244"/>
      <c r="B14" s="244"/>
      <c r="C14" s="244"/>
      <c r="D14" s="244"/>
      <c r="E14" s="244"/>
      <c r="F14" s="244"/>
      <c r="G14" s="244"/>
      <c r="H14" s="1539" t="s">
        <v>2342</v>
      </c>
      <c r="I14" s="1539">
        <f>I12/I13*100</f>
        <v>6.732934476472642</v>
      </c>
      <c r="J14" s="1539">
        <f>J12/J13*100</f>
        <v>1.8936027111195766</v>
      </c>
    </row>
    <row r="15" spans="1:10" x14ac:dyDescent="0.3">
      <c r="A15" s="244"/>
      <c r="B15" s="244"/>
      <c r="C15" s="244"/>
      <c r="D15" s="244"/>
      <c r="E15" s="244"/>
      <c r="F15" s="244"/>
      <c r="G15" s="244"/>
      <c r="H15" s="244"/>
      <c r="I15" s="244"/>
      <c r="J15" s="244"/>
    </row>
    <row r="16" spans="1:10" x14ac:dyDescent="0.3">
      <c r="A16" s="244"/>
      <c r="B16" s="244"/>
      <c r="C16" s="244"/>
      <c r="D16" s="244"/>
      <c r="E16" s="244"/>
      <c r="F16" s="244"/>
      <c r="G16" s="244"/>
      <c r="H16" s="244"/>
      <c r="I16" s="244"/>
      <c r="J16" s="244"/>
    </row>
    <row r="17" spans="1:14" x14ac:dyDescent="0.3">
      <c r="A17" s="244"/>
      <c r="B17" s="244"/>
      <c r="C17" s="244"/>
      <c r="D17" s="244"/>
      <c r="E17" s="244"/>
      <c r="F17" s="244"/>
      <c r="G17" s="244"/>
      <c r="H17" s="244"/>
      <c r="I17" s="244"/>
      <c r="J17" s="244"/>
    </row>
    <row r="18" spans="1:14" x14ac:dyDescent="0.3">
      <c r="A18" s="1537" t="s">
        <v>2346</v>
      </c>
      <c r="B18" s="1537"/>
      <c r="C18" s="1537"/>
      <c r="D18" s="1537" t="s">
        <v>2363</v>
      </c>
      <c r="E18" s="1537"/>
      <c r="F18" s="244"/>
      <c r="G18" s="244"/>
      <c r="H18" s="1539" t="s">
        <v>2345</v>
      </c>
      <c r="I18" s="1540">
        <f>I12</f>
        <v>1168332.9600000009</v>
      </c>
      <c r="J18" s="1540">
        <f>J12</f>
        <v>562564.75999999791</v>
      </c>
    </row>
    <row r="19" spans="1:14" x14ac:dyDescent="0.3">
      <c r="A19" s="244"/>
      <c r="B19" s="244"/>
      <c r="C19" s="244"/>
      <c r="D19" s="244"/>
      <c r="E19" s="244"/>
      <c r="F19" s="244"/>
      <c r="G19" s="244"/>
      <c r="H19" s="1539" t="s">
        <v>2347</v>
      </c>
      <c r="I19" s="1540">
        <f>'BS PL CFL'!E43</f>
        <v>21154856.719999999</v>
      </c>
      <c r="J19" s="1540">
        <f>'BS PL CFL'!F43</f>
        <v>20013089.759999998</v>
      </c>
    </row>
    <row r="20" spans="1:14" x14ac:dyDescent="0.3">
      <c r="A20" s="244"/>
      <c r="B20" s="244"/>
      <c r="C20" s="244"/>
      <c r="D20" s="244"/>
      <c r="E20" s="244"/>
      <c r="F20" s="244"/>
      <c r="G20" s="244"/>
      <c r="H20" s="1539" t="s">
        <v>2342</v>
      </c>
      <c r="I20" s="1539">
        <f>I18/I19*100</f>
        <v>5.5227647034614424</v>
      </c>
      <c r="J20" s="1539">
        <f>J18/J19*100</f>
        <v>2.8109840446745591</v>
      </c>
    </row>
    <row r="21" spans="1:14" x14ac:dyDescent="0.3">
      <c r="A21" s="244"/>
      <c r="B21" s="244"/>
      <c r="C21" s="244"/>
      <c r="D21" s="244"/>
      <c r="E21" s="244"/>
      <c r="F21" s="244"/>
      <c r="G21" s="244"/>
      <c r="H21" s="244"/>
      <c r="I21" s="244"/>
      <c r="J21" s="244"/>
    </row>
    <row r="22" spans="1:14" x14ac:dyDescent="0.3">
      <c r="A22" s="244"/>
      <c r="B22" s="244"/>
      <c r="C22" s="244"/>
      <c r="D22" s="244"/>
      <c r="E22" s="244"/>
      <c r="F22" s="244"/>
      <c r="G22" s="244"/>
      <c r="H22" s="244"/>
      <c r="I22" s="244"/>
      <c r="J22" s="244"/>
    </row>
    <row r="23" spans="1:14" x14ac:dyDescent="0.3">
      <c r="A23" s="244"/>
      <c r="B23" s="244"/>
      <c r="C23" s="244"/>
      <c r="D23" s="244"/>
      <c r="E23" s="244"/>
      <c r="F23" s="244"/>
      <c r="G23" s="244"/>
      <c r="H23" s="244"/>
      <c r="I23" s="244"/>
      <c r="J23" s="244"/>
    </row>
    <row r="24" spans="1:14" x14ac:dyDescent="0.3">
      <c r="A24" s="1537" t="s">
        <v>2348</v>
      </c>
      <c r="B24" s="1537"/>
      <c r="C24" s="1537"/>
      <c r="D24" s="1537" t="s">
        <v>2349</v>
      </c>
      <c r="E24" s="1537"/>
      <c r="F24" s="1537"/>
      <c r="G24" s="244"/>
      <c r="H24" s="1539" t="s">
        <v>2350</v>
      </c>
      <c r="I24" s="1844">
        <f>'BS PL CFL'!E35</f>
        <v>55337146.829999998</v>
      </c>
      <c r="J24" s="1540">
        <f>'BS PL CFL'!F35</f>
        <v>10940608.289999999</v>
      </c>
    </row>
    <row r="25" spans="1:14" x14ac:dyDescent="0.3">
      <c r="A25" s="244"/>
      <c r="B25" s="244"/>
      <c r="C25" s="244"/>
      <c r="D25" s="244"/>
      <c r="E25" s="244"/>
      <c r="F25" s="244"/>
      <c r="G25" s="244"/>
      <c r="H25" s="1539" t="s">
        <v>2351</v>
      </c>
      <c r="I25" s="1844">
        <f>'BS PL CFL'!E64</f>
        <v>15213656.199999999</v>
      </c>
      <c r="J25" s="1540">
        <f>'BS PL CFL'!F64</f>
        <v>937223.77999999991</v>
      </c>
    </row>
    <row r="26" spans="1:14" x14ac:dyDescent="0.3">
      <c r="A26" s="244"/>
      <c r="B26" s="244"/>
      <c r="C26" s="244"/>
      <c r="D26" s="244"/>
      <c r="E26" s="244"/>
      <c r="F26" s="244"/>
      <c r="G26" s="244"/>
      <c r="H26" s="1539" t="s">
        <v>2342</v>
      </c>
      <c r="I26" s="1539">
        <f>I24/I25</f>
        <v>3.637333859956688</v>
      </c>
      <c r="J26" s="1539">
        <f>J24/J25</f>
        <v>11.673421570673336</v>
      </c>
    </row>
    <row r="27" spans="1:14" x14ac:dyDescent="0.3">
      <c r="A27" s="244"/>
      <c r="B27" s="244"/>
      <c r="C27" s="244"/>
      <c r="D27" s="244"/>
      <c r="E27" s="244"/>
      <c r="F27" s="244"/>
      <c r="G27" s="244"/>
      <c r="H27" s="244"/>
      <c r="I27" s="244"/>
      <c r="J27" s="244"/>
    </row>
    <row r="28" spans="1:14" x14ac:dyDescent="0.3">
      <c r="A28" s="244"/>
      <c r="B28" s="244"/>
      <c r="C28" s="244"/>
      <c r="D28" s="244"/>
      <c r="E28" s="244"/>
      <c r="F28" s="244"/>
      <c r="G28" s="244"/>
      <c r="H28" s="244"/>
      <c r="I28" s="244"/>
      <c r="J28" s="244"/>
      <c r="N28" s="255"/>
    </row>
    <row r="29" spans="1:14" x14ac:dyDescent="0.3">
      <c r="A29" s="1537" t="s">
        <v>2352</v>
      </c>
      <c r="B29" s="244"/>
      <c r="C29" s="1537" t="s">
        <v>2353</v>
      </c>
      <c r="D29" s="244"/>
      <c r="E29" s="244"/>
      <c r="F29" s="244"/>
      <c r="G29" s="244"/>
      <c r="H29" s="1539" t="s">
        <v>2341</v>
      </c>
      <c r="I29" s="1844">
        <f>'BS PL CFL'!E109</f>
        <v>1578827.9600000009</v>
      </c>
      <c r="J29" s="1540">
        <f>'BS PL CFL'!F109</f>
        <v>760221.75999999791</v>
      </c>
    </row>
    <row r="30" spans="1:14" x14ac:dyDescent="0.3">
      <c r="A30" s="244"/>
      <c r="B30" s="244"/>
      <c r="C30" s="244"/>
      <c r="D30" s="244"/>
      <c r="E30" s="244"/>
      <c r="F30" s="244"/>
      <c r="G30" s="244"/>
      <c r="H30" s="1539" t="s">
        <v>2354</v>
      </c>
      <c r="I30" s="1844">
        <f>'BS PL CFL'!E102</f>
        <v>49856</v>
      </c>
      <c r="J30" s="1540">
        <f>'BS PL CFL'!F102</f>
        <v>9861.89</v>
      </c>
    </row>
    <row r="31" spans="1:14" x14ac:dyDescent="0.3">
      <c r="A31" s="244"/>
      <c r="B31" s="244"/>
      <c r="C31" s="244"/>
      <c r="D31" s="244"/>
      <c r="E31" s="244"/>
      <c r="F31" s="244"/>
      <c r="G31" s="244"/>
      <c r="H31" s="1539" t="s">
        <v>2342</v>
      </c>
      <c r="I31" s="1539">
        <f>I30/I29*100</f>
        <v>3.1577854752458259</v>
      </c>
      <c r="J31" s="1539">
        <f>J30/J29*100</f>
        <v>1.2972385846992891</v>
      </c>
    </row>
    <row r="32" spans="1:14" x14ac:dyDescent="0.3">
      <c r="A32" s="244"/>
      <c r="B32" s="244"/>
      <c r="C32" s="244"/>
      <c r="D32" s="244"/>
      <c r="E32" s="244"/>
      <c r="F32" s="244"/>
      <c r="G32" s="244"/>
      <c r="H32" s="244"/>
      <c r="I32" s="244"/>
      <c r="J32" s="244"/>
    </row>
    <row r="33" spans="1:10" x14ac:dyDescent="0.3">
      <c r="A33" s="244"/>
      <c r="B33" s="244"/>
      <c r="C33" s="244"/>
      <c r="D33" s="244"/>
      <c r="E33" s="244"/>
      <c r="F33" s="244"/>
      <c r="G33" s="244"/>
      <c r="H33" s="244"/>
      <c r="I33" s="244"/>
      <c r="J33" s="244"/>
    </row>
    <row r="34" spans="1:10" x14ac:dyDescent="0.3">
      <c r="A34" s="1537" t="s">
        <v>2355</v>
      </c>
      <c r="B34" s="244"/>
      <c r="C34" s="1537" t="s">
        <v>2356</v>
      </c>
      <c r="D34" s="244"/>
      <c r="E34" s="244"/>
      <c r="F34" s="244"/>
      <c r="G34" s="244"/>
      <c r="H34" s="1539" t="s">
        <v>2178</v>
      </c>
      <c r="I34" s="1540">
        <f>'BS PL CFL'!E90</f>
        <v>17352507.5</v>
      </c>
      <c r="J34" s="1540">
        <f>'BS PL CFL'!F90</f>
        <v>29708700.600000001</v>
      </c>
    </row>
    <row r="35" spans="1:10" x14ac:dyDescent="0.3">
      <c r="A35" s="244"/>
      <c r="B35" s="244"/>
      <c r="C35" s="244"/>
      <c r="D35" s="244"/>
      <c r="E35" s="244"/>
      <c r="F35" s="244"/>
      <c r="G35" s="244"/>
      <c r="H35" s="1539" t="s">
        <v>2357</v>
      </c>
      <c r="I35" s="1540">
        <f>'BS PL CFL'!F30</f>
        <v>5391456.3099999996</v>
      </c>
      <c r="J35" s="1540">
        <f>'[3]BS PL CFL'!F29</f>
        <v>26725480.699999999</v>
      </c>
    </row>
    <row r="36" spans="1:10" x14ac:dyDescent="0.3">
      <c r="A36" s="244"/>
      <c r="B36" s="244"/>
      <c r="C36" s="244"/>
      <c r="D36" s="244"/>
      <c r="E36" s="244"/>
      <c r="F36" s="244"/>
      <c r="G36" s="244"/>
      <c r="H36" s="1539" t="s">
        <v>2358</v>
      </c>
      <c r="I36" s="1540">
        <f>'BS PL CFL'!E30</f>
        <v>7827895.139999995</v>
      </c>
      <c r="J36" s="1540">
        <f>'BS PL CFL'!F30</f>
        <v>5391456.3099999996</v>
      </c>
    </row>
    <row r="37" spans="1:10" x14ac:dyDescent="0.3">
      <c r="A37" s="244"/>
      <c r="B37" s="244"/>
      <c r="C37" s="244"/>
      <c r="D37" s="244"/>
      <c r="E37" s="244"/>
      <c r="F37" s="244"/>
      <c r="G37" s="244"/>
      <c r="H37" s="1539" t="s">
        <v>2359</v>
      </c>
      <c r="I37" s="1540">
        <f>AVERAGE(I35:I36)</f>
        <v>6609675.7249999978</v>
      </c>
      <c r="J37" s="1540">
        <f>AVERAGE(J35:J36)</f>
        <v>16058468.504999999</v>
      </c>
    </row>
    <row r="38" spans="1:10" x14ac:dyDescent="0.3">
      <c r="A38" s="244"/>
      <c r="B38" s="244"/>
      <c r="C38" s="244"/>
      <c r="D38" s="244"/>
      <c r="E38" s="244"/>
      <c r="F38" s="244"/>
      <c r="G38" s="244"/>
      <c r="H38" s="1539" t="s">
        <v>2342</v>
      </c>
      <c r="I38" s="1539">
        <f>I34/I37</f>
        <v>2.6253190356021596</v>
      </c>
      <c r="J38" s="1539">
        <f>J34/J37</f>
        <v>1.8500332451223376</v>
      </c>
    </row>
    <row r="39" spans="1:10" x14ac:dyDescent="0.3">
      <c r="A39" s="244"/>
      <c r="B39" s="244"/>
      <c r="C39" s="244"/>
      <c r="D39" s="244"/>
      <c r="E39" s="244"/>
      <c r="F39" s="244"/>
      <c r="G39" s="244"/>
      <c r="H39" s="244"/>
      <c r="I39" s="244"/>
      <c r="J39" s="244"/>
    </row>
    <row r="40" spans="1:10" x14ac:dyDescent="0.3">
      <c r="A40" s="1537" t="s">
        <v>2360</v>
      </c>
      <c r="B40" s="244"/>
      <c r="C40" s="1537" t="s">
        <v>2364</v>
      </c>
      <c r="D40" s="244"/>
      <c r="E40" s="244"/>
      <c r="F40" s="244"/>
      <c r="G40" s="244"/>
      <c r="H40" s="1539" t="s">
        <v>2365</v>
      </c>
      <c r="I40" s="1540">
        <f>'BS PL CFL'!E97+'BS PL CFL'!E100+'BS PL CFL'!E101</f>
        <v>84156</v>
      </c>
      <c r="J40" s="1540">
        <f>'BS PL CFL'!F97+'BS PL CFL'!F100+'BS PL CFL'!F101</f>
        <v>29449276.010000002</v>
      </c>
    </row>
    <row r="41" spans="1:10" x14ac:dyDescent="0.3">
      <c r="A41" s="244"/>
      <c r="B41" s="244"/>
      <c r="C41" s="244"/>
      <c r="D41" s="244"/>
      <c r="E41" s="244"/>
      <c r="F41" s="244"/>
      <c r="G41" s="244"/>
      <c r="H41" s="1539" t="s">
        <v>2226</v>
      </c>
      <c r="I41" s="1540">
        <f>'[3]BS PL CFL'!E26</f>
        <v>259478.3</v>
      </c>
      <c r="J41" s="1540">
        <f>'[3]BS PL CFL'!F26</f>
        <v>296484</v>
      </c>
    </row>
    <row r="42" spans="1:10" x14ac:dyDescent="0.3">
      <c r="A42" s="244"/>
      <c r="B42" s="244"/>
      <c r="C42" s="244"/>
      <c r="D42" s="244"/>
      <c r="E42" s="244"/>
      <c r="F42" s="244"/>
      <c r="G42" s="244"/>
      <c r="H42" s="1539" t="s">
        <v>2361</v>
      </c>
      <c r="I42" s="1540">
        <f>'BS PL CFL'!E27</f>
        <v>8848423</v>
      </c>
      <c r="J42" s="1540">
        <f>'BS PL CFL'!F27</f>
        <v>0</v>
      </c>
    </row>
    <row r="43" spans="1:10" x14ac:dyDescent="0.3">
      <c r="A43" s="244"/>
      <c r="B43" s="244"/>
      <c r="C43" s="244"/>
      <c r="D43" s="244"/>
      <c r="E43" s="244"/>
      <c r="F43" s="244"/>
      <c r="G43" s="244"/>
      <c r="H43" s="1539" t="s">
        <v>2362</v>
      </c>
      <c r="I43" s="1540">
        <f>AVERAGE(I41:I42)</f>
        <v>4553950.6500000004</v>
      </c>
      <c r="J43" s="1540">
        <f>AVERAGE(J41:J42)</f>
        <v>148242</v>
      </c>
    </row>
    <row r="44" spans="1:10" x14ac:dyDescent="0.3">
      <c r="A44" s="244"/>
      <c r="B44" s="244"/>
      <c r="C44" s="244"/>
      <c r="D44" s="244"/>
      <c r="E44" s="244"/>
      <c r="F44" s="244"/>
      <c r="G44" s="244"/>
      <c r="H44" s="1539" t="s">
        <v>2342</v>
      </c>
      <c r="I44" s="1539">
        <f>I40/I43</f>
        <v>1.8479778651092758E-2</v>
      </c>
      <c r="J44" s="1539">
        <f>J40/J43</f>
        <v>198.65676400750127</v>
      </c>
    </row>
    <row r="48" spans="1:10" x14ac:dyDescent="0.3">
      <c r="A48" s="1" t="s">
        <v>2366</v>
      </c>
      <c r="C48" s="1" t="s">
        <v>2367</v>
      </c>
      <c r="H48" s="1" t="s">
        <v>2368</v>
      </c>
      <c r="I48">
        <f>'BS PL CFL'!E55</f>
        <v>322717790</v>
      </c>
      <c r="J48">
        <f>'BS PL CFL'!F55</f>
        <v>0</v>
      </c>
    </row>
    <row r="49" spans="8:10" x14ac:dyDescent="0.3">
      <c r="H49" s="1" t="s">
        <v>2231</v>
      </c>
      <c r="I49">
        <f>'BS PL CFL'!E64</f>
        <v>15213656.199999999</v>
      </c>
      <c r="J49">
        <f>'BS PL CFL'!F64</f>
        <v>937223.77999999991</v>
      </c>
    </row>
    <row r="50" spans="8:10" x14ac:dyDescent="0.3">
      <c r="H50" s="1" t="s">
        <v>2369</v>
      </c>
      <c r="I50">
        <f>'BS PL CFL'!E43</f>
        <v>21154856.719999999</v>
      </c>
      <c r="J50">
        <f>'BS PL CFL'!F43</f>
        <v>20013089.759999998</v>
      </c>
    </row>
    <row r="51" spans="8:10" x14ac:dyDescent="0.3">
      <c r="H51" s="1" t="s">
        <v>2342</v>
      </c>
      <c r="I51" s="1541">
        <f>I49/I50</f>
        <v>0.71915666465454553</v>
      </c>
      <c r="J51" s="1541">
        <f>J49/J50</f>
        <v>4.6830538974207851E-2</v>
      </c>
    </row>
  </sheetData>
  <mergeCells count="3">
    <mergeCell ref="A1:B1"/>
    <mergeCell ref="D1:E1"/>
    <mergeCell ref="D3:E3"/>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3"/>
  <sheetViews>
    <sheetView view="pageBreakPreview" topLeftCell="A16" zoomScaleSheetLayoutView="100" workbookViewId="0">
      <selection activeCell="F55" sqref="F55"/>
    </sheetView>
  </sheetViews>
  <sheetFormatPr defaultColWidth="8.88671875" defaultRowHeight="15.6" x14ac:dyDescent="0.3"/>
  <cols>
    <col min="1" max="3" width="8.88671875" style="297"/>
    <col min="4" max="4" width="21.5546875" style="297" customWidth="1"/>
    <col min="5" max="5" width="20.5546875" style="297" customWidth="1"/>
    <col min="6" max="6" width="24.109375" style="297" customWidth="1"/>
    <col min="7" max="7" width="24.6640625" style="297" customWidth="1"/>
    <col min="8" max="16384" width="8.88671875" style="297"/>
  </cols>
  <sheetData>
    <row r="1" spans="2:7" x14ac:dyDescent="0.3">
      <c r="B1" s="378" t="s">
        <v>212</v>
      </c>
      <c r="C1" s="378"/>
      <c r="D1" s="378"/>
      <c r="E1" s="391"/>
      <c r="F1" s="391"/>
      <c r="G1" s="391"/>
    </row>
    <row r="2" spans="2:7" x14ac:dyDescent="0.3">
      <c r="B2" s="378" t="s">
        <v>389</v>
      </c>
      <c r="C2" s="378"/>
      <c r="D2" s="378"/>
      <c r="E2" s="391"/>
      <c r="F2" s="391"/>
      <c r="G2" s="391"/>
    </row>
    <row r="3" spans="2:7" x14ac:dyDescent="0.3">
      <c r="B3" s="391"/>
      <c r="C3" s="391"/>
      <c r="D3" s="391"/>
      <c r="E3" s="391"/>
      <c r="F3" s="479"/>
      <c r="G3" s="479"/>
    </row>
    <row r="4" spans="2:7" x14ac:dyDescent="0.3">
      <c r="B4" s="378" t="s">
        <v>692</v>
      </c>
      <c r="C4" s="378"/>
      <c r="D4" s="378"/>
      <c r="E4" s="391"/>
      <c r="F4" s="391"/>
      <c r="G4" s="391"/>
    </row>
    <row r="5" spans="2:7" ht="87" customHeight="1" x14ac:dyDescent="0.3">
      <c r="B5" s="2066" t="s">
        <v>663</v>
      </c>
      <c r="C5" s="2066"/>
      <c r="D5" s="2066"/>
      <c r="E5" s="2066"/>
      <c r="F5" s="2066"/>
      <c r="G5" s="2066"/>
    </row>
    <row r="6" spans="2:7" x14ac:dyDescent="0.3">
      <c r="B6" s="2067" t="s">
        <v>664</v>
      </c>
      <c r="C6" s="2067"/>
      <c r="D6" s="480"/>
      <c r="E6" s="480"/>
      <c r="F6" s="480"/>
      <c r="G6" s="480"/>
    </row>
    <row r="7" spans="2:7" ht="48.75" customHeight="1" x14ac:dyDescent="0.3">
      <c r="B7" s="2066" t="s">
        <v>665</v>
      </c>
      <c r="C7" s="2066"/>
      <c r="D7" s="2066"/>
      <c r="E7" s="2066"/>
      <c r="F7" s="2066"/>
      <c r="G7" s="2066"/>
    </row>
    <row r="8" spans="2:7" x14ac:dyDescent="0.3">
      <c r="B8" s="481" t="s">
        <v>1340</v>
      </c>
      <c r="C8" s="481"/>
      <c r="D8" s="481"/>
      <c r="E8" s="482"/>
      <c r="F8" s="482"/>
      <c r="G8" s="482"/>
    </row>
    <row r="9" spans="2:7" x14ac:dyDescent="0.3">
      <c r="B9" s="2068" t="s">
        <v>666</v>
      </c>
      <c r="C9" s="2068"/>
      <c r="D9" s="2068"/>
      <c r="E9" s="2068"/>
      <c r="F9" s="2068"/>
      <c r="G9" s="2068"/>
    </row>
    <row r="10" spans="2:7" ht="39.6" customHeight="1" x14ac:dyDescent="0.3">
      <c r="B10" s="2068" t="s">
        <v>666</v>
      </c>
      <c r="C10" s="2068"/>
      <c r="D10" s="2068"/>
      <c r="E10" s="2068"/>
      <c r="F10" s="2068"/>
      <c r="G10" s="2068"/>
    </row>
    <row r="11" spans="2:7" x14ac:dyDescent="0.3">
      <c r="B11" s="378" t="s">
        <v>667</v>
      </c>
      <c r="C11" s="378"/>
      <c r="D11" s="378"/>
      <c r="E11" s="391"/>
      <c r="F11" s="391"/>
      <c r="G11" s="391"/>
    </row>
    <row r="12" spans="2:7" ht="72" customHeight="1" x14ac:dyDescent="0.3">
      <c r="B12" s="2066" t="s">
        <v>668</v>
      </c>
      <c r="C12" s="2066"/>
      <c r="D12" s="2066"/>
      <c r="E12" s="2066"/>
      <c r="F12" s="2066"/>
      <c r="G12" s="2066"/>
    </row>
    <row r="13" spans="2:7" ht="33" customHeight="1" x14ac:dyDescent="0.3">
      <c r="B13" s="2066" t="s">
        <v>669</v>
      </c>
      <c r="C13" s="2066"/>
      <c r="D13" s="2066"/>
      <c r="E13" s="2066"/>
      <c r="F13" s="2066"/>
      <c r="G13" s="2066"/>
    </row>
    <row r="14" spans="2:7" x14ac:dyDescent="0.3">
      <c r="B14" s="483" t="s">
        <v>670</v>
      </c>
      <c r="C14" s="484"/>
      <c r="D14" s="484"/>
      <c r="E14" s="391"/>
      <c r="F14" s="391"/>
      <c r="G14" s="391"/>
    </row>
    <row r="15" spans="2:7" ht="48.6" customHeight="1" x14ac:dyDescent="0.3">
      <c r="B15" s="2066" t="s">
        <v>671</v>
      </c>
      <c r="C15" s="2066"/>
      <c r="D15" s="2066"/>
      <c r="E15" s="2066"/>
      <c r="F15" s="2066"/>
      <c r="G15" s="2066"/>
    </row>
    <row r="16" spans="2:7" ht="30.6" customHeight="1" x14ac:dyDescent="0.3">
      <c r="B16" s="2066" t="s">
        <v>672</v>
      </c>
      <c r="C16" s="2066"/>
      <c r="D16" s="2066"/>
      <c r="E16" s="2066"/>
      <c r="F16" s="2066"/>
      <c r="G16" s="2066"/>
    </row>
    <row r="17" spans="2:7" ht="30.6" customHeight="1" x14ac:dyDescent="0.3">
      <c r="B17" s="2069" t="s">
        <v>673</v>
      </c>
      <c r="C17" s="2069"/>
      <c r="D17" s="2069"/>
      <c r="E17" s="2069"/>
      <c r="F17" s="2069"/>
      <c r="G17" s="2069"/>
    </row>
    <row r="18" spans="2:7" ht="37.950000000000003" customHeight="1" x14ac:dyDescent="0.3">
      <c r="B18" s="2070" t="s">
        <v>674</v>
      </c>
      <c r="C18" s="2070"/>
      <c r="D18" s="2070"/>
      <c r="E18" s="2070"/>
      <c r="F18" s="2070"/>
      <c r="G18" s="2070"/>
    </row>
    <row r="19" spans="2:7" ht="55.5" customHeight="1" x14ac:dyDescent="0.3">
      <c r="B19" s="2066" t="s">
        <v>675</v>
      </c>
      <c r="C19" s="2066"/>
      <c r="D19" s="2066"/>
      <c r="E19" s="2066"/>
      <c r="F19" s="2066"/>
      <c r="G19" s="2066"/>
    </row>
    <row r="20" spans="2:7" x14ac:dyDescent="0.3">
      <c r="B20" s="2071" t="s">
        <v>676</v>
      </c>
      <c r="C20" s="2071"/>
      <c r="D20" s="2071"/>
      <c r="E20" s="2071"/>
      <c r="F20" s="2071"/>
      <c r="G20" s="2071"/>
    </row>
    <row r="21" spans="2:7" ht="19.2" customHeight="1" x14ac:dyDescent="0.3">
      <c r="B21" s="2071"/>
      <c r="C21" s="2071"/>
      <c r="D21" s="2071"/>
      <c r="E21" s="2071"/>
      <c r="F21" s="2071"/>
      <c r="G21" s="2071"/>
    </row>
    <row r="22" spans="2:7" x14ac:dyDescent="0.3">
      <c r="B22" s="485" t="s">
        <v>677</v>
      </c>
      <c r="C22" s="486"/>
      <c r="D22" s="486"/>
      <c r="E22" s="487"/>
      <c r="F22" s="487"/>
      <c r="G22" s="487"/>
    </row>
    <row r="23" spans="2:7" ht="36" customHeight="1" x14ac:dyDescent="0.3">
      <c r="B23" s="2070" t="s">
        <v>678</v>
      </c>
      <c r="C23" s="2070"/>
      <c r="D23" s="2070"/>
      <c r="E23" s="2070"/>
      <c r="F23" s="2070"/>
      <c r="G23" s="2070"/>
    </row>
    <row r="24" spans="2:7" ht="50.25" customHeight="1" x14ac:dyDescent="0.3">
      <c r="B24" s="2070" t="s">
        <v>679</v>
      </c>
      <c r="C24" s="2070"/>
      <c r="D24" s="2070"/>
      <c r="E24" s="2070"/>
      <c r="F24" s="2070"/>
      <c r="G24" s="2070"/>
    </row>
    <row r="25" spans="2:7" ht="36.6" customHeight="1" x14ac:dyDescent="0.3">
      <c r="B25" s="2070" t="s">
        <v>680</v>
      </c>
      <c r="C25" s="2070"/>
      <c r="D25" s="2070"/>
      <c r="E25" s="2070"/>
      <c r="F25" s="2070"/>
      <c r="G25" s="2070"/>
    </row>
    <row r="26" spans="2:7" x14ac:dyDescent="0.3">
      <c r="B26" s="482"/>
      <c r="C26" s="482"/>
      <c r="D26" s="482"/>
      <c r="E26" s="482"/>
      <c r="F26" s="482"/>
      <c r="G26" s="488"/>
    </row>
    <row r="27" spans="2:7" x14ac:dyDescent="0.3">
      <c r="B27" s="378" t="s">
        <v>693</v>
      </c>
      <c r="C27" s="378"/>
      <c r="D27" s="378"/>
      <c r="E27" s="391"/>
      <c r="F27" s="391"/>
      <c r="G27" s="391"/>
    </row>
    <row r="28" spans="2:7" ht="47.4" customHeight="1" x14ac:dyDescent="0.3">
      <c r="B28" s="2066" t="s">
        <v>681</v>
      </c>
      <c r="C28" s="2066"/>
      <c r="D28" s="2066"/>
      <c r="E28" s="2066"/>
      <c r="F28" s="2066"/>
      <c r="G28" s="2066"/>
    </row>
    <row r="29" spans="2:7" ht="48" customHeight="1" x14ac:dyDescent="0.3">
      <c r="B29" s="2066" t="s">
        <v>1341</v>
      </c>
      <c r="C29" s="2066"/>
      <c r="D29" s="2066"/>
      <c r="E29" s="2066"/>
      <c r="F29" s="2066"/>
      <c r="G29" s="2066"/>
    </row>
    <row r="30" spans="2:7" ht="83.25" customHeight="1" x14ac:dyDescent="0.3">
      <c r="B30" s="2066" t="s">
        <v>1342</v>
      </c>
      <c r="C30" s="2066"/>
      <c r="D30" s="2066"/>
      <c r="E30" s="2066"/>
      <c r="F30" s="2066"/>
      <c r="G30" s="2066"/>
    </row>
    <row r="31" spans="2:7" x14ac:dyDescent="0.3">
      <c r="B31" s="378" t="s">
        <v>694</v>
      </c>
      <c r="C31" s="378"/>
      <c r="D31" s="378"/>
      <c r="E31" s="391"/>
      <c r="F31" s="391"/>
      <c r="G31" s="391"/>
    </row>
    <row r="32" spans="2:7" ht="66" customHeight="1" x14ac:dyDescent="0.3">
      <c r="B32" s="2066" t="s">
        <v>682</v>
      </c>
      <c r="C32" s="2066"/>
      <c r="D32" s="2066"/>
      <c r="E32" s="2066"/>
      <c r="F32" s="2066"/>
      <c r="G32" s="2066"/>
    </row>
    <row r="33" spans="2:7" ht="72.75" customHeight="1" x14ac:dyDescent="0.3">
      <c r="B33" s="2072" t="s">
        <v>683</v>
      </c>
      <c r="C33" s="2072"/>
      <c r="D33" s="2072"/>
      <c r="E33" s="2072"/>
      <c r="F33" s="2072"/>
      <c r="G33" s="2072"/>
    </row>
    <row r="34" spans="2:7" x14ac:dyDescent="0.3">
      <c r="B34" s="378" t="s">
        <v>684</v>
      </c>
      <c r="C34" s="378"/>
      <c r="D34" s="378"/>
      <c r="E34" s="391"/>
      <c r="F34" s="391"/>
      <c r="G34" s="391"/>
    </row>
    <row r="35" spans="2:7" ht="34.200000000000003" customHeight="1" x14ac:dyDescent="0.3">
      <c r="B35" s="2072" t="s">
        <v>685</v>
      </c>
      <c r="C35" s="2072"/>
      <c r="D35" s="2072"/>
      <c r="E35" s="2072"/>
      <c r="F35" s="2072"/>
      <c r="G35" s="2072"/>
    </row>
    <row r="36" spans="2:7" ht="49.95" customHeight="1" x14ac:dyDescent="0.3">
      <c r="B36" s="2072" t="s">
        <v>686</v>
      </c>
      <c r="C36" s="2072"/>
      <c r="D36" s="2072"/>
      <c r="E36" s="2072"/>
      <c r="F36" s="2072"/>
      <c r="G36" s="2072"/>
    </row>
    <row r="37" spans="2:7" x14ac:dyDescent="0.3">
      <c r="B37" s="378" t="s">
        <v>695</v>
      </c>
      <c r="C37" s="482"/>
      <c r="D37" s="482"/>
      <c r="E37" s="482"/>
      <c r="F37" s="482"/>
      <c r="G37" s="482"/>
    </row>
    <row r="38" spans="2:7" ht="95.4" customHeight="1" x14ac:dyDescent="0.3">
      <c r="B38" s="2072" t="s">
        <v>687</v>
      </c>
      <c r="C38" s="2072"/>
      <c r="D38" s="2072"/>
      <c r="E38" s="2072"/>
      <c r="F38" s="2072"/>
      <c r="G38" s="2072"/>
    </row>
    <row r="39" spans="2:7" x14ac:dyDescent="0.3">
      <c r="B39" s="489" t="s">
        <v>688</v>
      </c>
      <c r="C39" s="482"/>
      <c r="D39" s="482"/>
      <c r="E39" s="482"/>
      <c r="F39" s="482"/>
      <c r="G39" s="482"/>
    </row>
    <row r="40" spans="2:7" ht="84.75" customHeight="1" x14ac:dyDescent="0.3">
      <c r="B40" s="2072" t="s">
        <v>689</v>
      </c>
      <c r="C40" s="2072"/>
      <c r="D40" s="2072"/>
      <c r="E40" s="2072"/>
      <c r="F40" s="2072"/>
      <c r="G40" s="2072"/>
    </row>
    <row r="41" spans="2:7" x14ac:dyDescent="0.3">
      <c r="B41" s="485" t="s">
        <v>696</v>
      </c>
      <c r="C41" s="487"/>
      <c r="D41" s="487"/>
      <c r="E41" s="487"/>
      <c r="F41" s="487"/>
      <c r="G41" s="487"/>
    </row>
    <row r="42" spans="2:7" ht="82.5" customHeight="1" x14ac:dyDescent="0.3">
      <c r="B42" s="2072" t="s">
        <v>690</v>
      </c>
      <c r="C42" s="2072"/>
      <c r="D42" s="2072"/>
      <c r="E42" s="2072"/>
      <c r="F42" s="2072"/>
      <c r="G42" s="2072"/>
    </row>
    <row r="43" spans="2:7" ht="79.2" customHeight="1" x14ac:dyDescent="0.3">
      <c r="B43" s="2073" t="s">
        <v>1343</v>
      </c>
      <c r="C43" s="2073"/>
      <c r="D43" s="2073"/>
      <c r="E43" s="2073"/>
      <c r="F43" s="2073"/>
      <c r="G43" s="2073"/>
    </row>
  </sheetData>
  <mergeCells count="26">
    <mergeCell ref="B42:G42"/>
    <mergeCell ref="B43:G43"/>
    <mergeCell ref="B33:G33"/>
    <mergeCell ref="B35:G35"/>
    <mergeCell ref="B36:G36"/>
    <mergeCell ref="B38:G38"/>
    <mergeCell ref="B40:G40"/>
    <mergeCell ref="B30:G30"/>
    <mergeCell ref="B32:G32"/>
    <mergeCell ref="B16:G16"/>
    <mergeCell ref="B17:G17"/>
    <mergeCell ref="B18:G18"/>
    <mergeCell ref="B19:G19"/>
    <mergeCell ref="B20:G21"/>
    <mergeCell ref="B23:G23"/>
    <mergeCell ref="B24:G24"/>
    <mergeCell ref="B25:G25"/>
    <mergeCell ref="B28:G28"/>
    <mergeCell ref="B29:G29"/>
    <mergeCell ref="B15:G15"/>
    <mergeCell ref="B6:C6"/>
    <mergeCell ref="B5:G5"/>
    <mergeCell ref="B7:G7"/>
    <mergeCell ref="B9:G10"/>
    <mergeCell ref="B12:G12"/>
    <mergeCell ref="B13:G13"/>
  </mergeCells>
  <pageMargins left="0.7" right="0.7" top="0.75" bottom="0.75" header="0.3" footer="0.3"/>
  <pageSetup paperSize="9" scale="80" orientation="portrait" r:id="rId1"/>
  <rowBreaks count="1" manualBreakCount="1">
    <brk id="26" min="1" max="6"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zoomScaleSheetLayoutView="100" workbookViewId="0">
      <selection activeCell="A11" sqref="A11"/>
    </sheetView>
  </sheetViews>
  <sheetFormatPr defaultRowHeight="14.4" x14ac:dyDescent="0.3"/>
  <cols>
    <col min="1" max="1" width="7.6640625" customWidth="1"/>
    <col min="2" max="2" width="31.33203125" customWidth="1"/>
    <col min="3" max="3" width="21.33203125" customWidth="1"/>
    <col min="4" max="4" width="19" customWidth="1"/>
    <col min="5" max="5" width="15.109375" customWidth="1"/>
    <col min="6" max="6" width="17.109375" customWidth="1"/>
    <col min="7" max="7" width="10.6640625" bestFit="1" customWidth="1"/>
    <col min="8" max="8" width="12.109375" bestFit="1" customWidth="1"/>
  </cols>
  <sheetData>
    <row r="1" spans="1:10" x14ac:dyDescent="0.3">
      <c r="A1" s="2074" t="s">
        <v>212</v>
      </c>
      <c r="B1" s="2074"/>
      <c r="C1" s="2074"/>
      <c r="D1" s="2074"/>
      <c r="E1" s="2074"/>
      <c r="F1" s="2074"/>
    </row>
    <row r="2" spans="1:10" x14ac:dyDescent="0.3">
      <c r="A2" s="2074" t="s">
        <v>1292</v>
      </c>
      <c r="B2" s="2074"/>
      <c r="C2" s="2074"/>
      <c r="D2" s="2074"/>
      <c r="E2" s="2074"/>
      <c r="F2" s="2074"/>
    </row>
    <row r="3" spans="1:10" x14ac:dyDescent="0.3">
      <c r="A3" s="124"/>
      <c r="B3" s="93"/>
      <c r="C3" s="93"/>
      <c r="D3" s="93"/>
      <c r="E3" s="93"/>
      <c r="F3" s="93"/>
    </row>
    <row r="4" spans="1:10" x14ac:dyDescent="0.3">
      <c r="A4" s="124" t="s">
        <v>378</v>
      </c>
      <c r="B4" s="93"/>
      <c r="C4" s="93"/>
      <c r="D4" s="102"/>
      <c r="E4" s="93"/>
      <c r="F4" s="125" t="s">
        <v>341</v>
      </c>
    </row>
    <row r="5" spans="1:10" x14ac:dyDescent="0.3">
      <c r="A5" s="126" t="s">
        <v>215</v>
      </c>
      <c r="B5" s="92"/>
      <c r="C5" s="92"/>
      <c r="D5" s="127"/>
      <c r="E5" s="128" t="s">
        <v>379</v>
      </c>
      <c r="F5" s="128" t="s">
        <v>380</v>
      </c>
    </row>
    <row r="6" spans="1:10" x14ac:dyDescent="0.3">
      <c r="A6" s="97" t="s">
        <v>1265</v>
      </c>
      <c r="B6" s="93"/>
      <c r="C6" s="93"/>
      <c r="D6" s="129"/>
      <c r="E6" s="130">
        <v>14860700</v>
      </c>
      <c r="F6" s="131">
        <f>E6*10</f>
        <v>148607000</v>
      </c>
    </row>
    <row r="7" spans="1:10" x14ac:dyDescent="0.3">
      <c r="A7" s="132" t="s">
        <v>381</v>
      </c>
      <c r="B7" s="93"/>
      <c r="C7" s="93"/>
      <c r="D7" s="129"/>
      <c r="E7" s="94">
        <v>0</v>
      </c>
      <c r="F7" s="131">
        <f>E7*10</f>
        <v>0</v>
      </c>
    </row>
    <row r="8" spans="1:10" x14ac:dyDescent="0.3">
      <c r="A8" s="97" t="s">
        <v>1265</v>
      </c>
      <c r="B8" s="93"/>
      <c r="C8" s="93"/>
      <c r="D8" s="129"/>
      <c r="E8" s="131">
        <f>SUM(E6:E7)</f>
        <v>14860700</v>
      </c>
      <c r="F8" s="131">
        <f>SUM(F6:F7)</f>
        <v>148607000</v>
      </c>
    </row>
    <row r="9" spans="1:10" x14ac:dyDescent="0.3">
      <c r="A9" s="132" t="s">
        <v>381</v>
      </c>
      <c r="B9" s="93"/>
      <c r="C9" s="93"/>
      <c r="D9" s="129"/>
      <c r="E9" s="95">
        <v>0</v>
      </c>
      <c r="F9" s="95">
        <v>0</v>
      </c>
    </row>
    <row r="10" spans="1:10" x14ac:dyDescent="0.3">
      <c r="A10" s="99" t="s">
        <v>1293</v>
      </c>
      <c r="B10" s="133"/>
      <c r="C10" s="133"/>
      <c r="D10" s="134"/>
      <c r="E10" s="135">
        <f>SUM(E8)</f>
        <v>14860700</v>
      </c>
      <c r="F10" s="135">
        <f>SUM(F8)</f>
        <v>148607000</v>
      </c>
    </row>
    <row r="11" spans="1:10" x14ac:dyDescent="0.3">
      <c r="A11" s="100"/>
      <c r="B11" s="93"/>
      <c r="C11" s="93"/>
      <c r="D11" s="93"/>
      <c r="E11" s="93"/>
      <c r="F11" s="136"/>
      <c r="I11" s="259" t="s">
        <v>343</v>
      </c>
      <c r="J11" s="260" t="s">
        <v>633</v>
      </c>
    </row>
    <row r="12" spans="1:10" x14ac:dyDescent="0.3">
      <c r="A12" s="137" t="s">
        <v>382</v>
      </c>
      <c r="B12" s="93"/>
      <c r="C12" s="93"/>
      <c r="D12" s="93"/>
      <c r="E12" s="93"/>
      <c r="F12" s="138"/>
      <c r="I12">
        <v>6019491</v>
      </c>
      <c r="J12">
        <v>3736952</v>
      </c>
    </row>
    <row r="13" spans="1:10" x14ac:dyDescent="0.3">
      <c r="A13" s="2075" t="s">
        <v>215</v>
      </c>
      <c r="B13" s="2076"/>
      <c r="C13" s="139" t="s">
        <v>383</v>
      </c>
      <c r="D13" s="2079" t="s">
        <v>384</v>
      </c>
      <c r="E13" s="2080"/>
      <c r="F13" s="2081" t="s">
        <v>213</v>
      </c>
      <c r="I13">
        <v>12132810</v>
      </c>
      <c r="J13">
        <v>19823084</v>
      </c>
    </row>
    <row r="14" spans="1:10" x14ac:dyDescent="0.3">
      <c r="A14" s="2077"/>
      <c r="B14" s="2078"/>
      <c r="C14" s="140" t="s">
        <v>385</v>
      </c>
      <c r="D14" s="2079" t="s">
        <v>386</v>
      </c>
      <c r="E14" s="2080"/>
      <c r="F14" s="2082"/>
    </row>
    <row r="15" spans="1:10" x14ac:dyDescent="0.3">
      <c r="A15" s="96" t="s">
        <v>1266</v>
      </c>
      <c r="B15" s="123"/>
      <c r="C15" s="141">
        <f>'sch 12-12.2'!K72</f>
        <v>0</v>
      </c>
      <c r="D15" s="100"/>
      <c r="E15" s="142">
        <v>0</v>
      </c>
      <c r="F15" s="141">
        <f>SUM(C15:E15)</f>
        <v>0</v>
      </c>
    </row>
    <row r="16" spans="1:10" x14ac:dyDescent="0.3">
      <c r="A16" s="96" t="s">
        <v>387</v>
      </c>
      <c r="B16" s="123"/>
      <c r="C16" s="261">
        <f>-164.04*100000</f>
        <v>-16404000</v>
      </c>
      <c r="D16" s="96"/>
      <c r="E16" s="142">
        <v>0</v>
      </c>
      <c r="F16" s="143">
        <f>SUM(C16:E16)</f>
        <v>-16404000</v>
      </c>
    </row>
    <row r="17" spans="1:8" x14ac:dyDescent="0.3">
      <c r="A17" s="96" t="s">
        <v>642</v>
      </c>
      <c r="B17" s="123"/>
      <c r="C17" s="261">
        <v>-394152</v>
      </c>
      <c r="D17" s="96"/>
      <c r="E17" s="264">
        <v>0</v>
      </c>
      <c r="F17" s="143">
        <f>SUM(C17:E17)</f>
        <v>-394152</v>
      </c>
    </row>
    <row r="18" spans="1:8" x14ac:dyDescent="0.3">
      <c r="A18" s="144" t="s">
        <v>388</v>
      </c>
      <c r="B18" s="138"/>
      <c r="C18" s="177">
        <v>0</v>
      </c>
      <c r="D18" s="98"/>
      <c r="E18" s="175">
        <v>0</v>
      </c>
      <c r="F18" s="145">
        <f t="shared" ref="F18:F21" si="0">SUM(C18:E18)</f>
        <v>0</v>
      </c>
    </row>
    <row r="19" spans="1:8" x14ac:dyDescent="0.3">
      <c r="A19" s="146" t="s">
        <v>1267</v>
      </c>
      <c r="B19" s="147"/>
      <c r="C19" s="148">
        <f>SUM(C15:C18)</f>
        <v>-16798152</v>
      </c>
      <c r="D19" s="98"/>
      <c r="E19" s="176">
        <f>E15+E16++E18</f>
        <v>0</v>
      </c>
      <c r="F19" s="149">
        <f t="shared" si="0"/>
        <v>-16798152</v>
      </c>
    </row>
    <row r="20" spans="1:8" x14ac:dyDescent="0.3">
      <c r="A20" s="96" t="s">
        <v>387</v>
      </c>
      <c r="B20" s="123"/>
      <c r="C20" s="143">
        <f>+'P&amp;L'!F58-C16</f>
        <v>3849377.625845002</v>
      </c>
      <c r="D20" s="96"/>
      <c r="E20" s="150">
        <v>0</v>
      </c>
      <c r="F20" s="131">
        <f>SUM(C20:E20)</f>
        <v>3849377.625845002</v>
      </c>
    </row>
    <row r="21" spans="1:8" x14ac:dyDescent="0.3">
      <c r="A21" s="144" t="s">
        <v>388</v>
      </c>
      <c r="B21" s="138"/>
      <c r="C21" s="151">
        <v>0</v>
      </c>
      <c r="D21" s="96"/>
      <c r="E21" s="150">
        <f>I12+I13+J12+J13</f>
        <v>41712337</v>
      </c>
      <c r="F21" s="131">
        <f t="shared" si="0"/>
        <v>41712337</v>
      </c>
    </row>
    <row r="22" spans="1:8" x14ac:dyDescent="0.3">
      <c r="A22" s="152" t="s">
        <v>1268</v>
      </c>
      <c r="B22" s="153"/>
      <c r="C22" s="135">
        <f>C19+C20+C21</f>
        <v>-12948774.374154998</v>
      </c>
      <c r="D22" s="152"/>
      <c r="E22" s="154">
        <f>C19++C20+C21</f>
        <v>-12948774.374154998</v>
      </c>
      <c r="F22" s="154">
        <f>-F21+F20+F19</f>
        <v>-54661111.374155</v>
      </c>
      <c r="G22" t="e">
        <f>'sch 12-12.2'!#REF!</f>
        <v>#REF!</v>
      </c>
      <c r="H22" s="89" t="e">
        <f>F22-G22</f>
        <v>#REF!</v>
      </c>
    </row>
    <row r="23" spans="1:8" x14ac:dyDescent="0.3">
      <c r="A23" s="152"/>
      <c r="B23" s="155"/>
      <c r="C23" s="156"/>
      <c r="D23" s="155"/>
      <c r="E23" s="157"/>
      <c r="F23" s="154"/>
    </row>
    <row r="24" spans="1:8" x14ac:dyDescent="0.3">
      <c r="A24" s="152" t="s">
        <v>355</v>
      </c>
      <c r="B24" s="92"/>
      <c r="C24" s="92"/>
      <c r="D24" s="92"/>
      <c r="E24" s="92"/>
      <c r="F24" s="147"/>
    </row>
    <row r="25" spans="1:8" x14ac:dyDescent="0.3">
      <c r="A25" s="158"/>
      <c r="B25" s="93"/>
      <c r="C25" s="93"/>
      <c r="D25" s="93"/>
      <c r="E25" s="93"/>
      <c r="F25" s="136"/>
    </row>
    <row r="26" spans="1:8" x14ac:dyDescent="0.3">
      <c r="A26" s="101" t="s">
        <v>357</v>
      </c>
      <c r="B26" s="102"/>
      <c r="C26" s="102"/>
      <c r="D26" s="102"/>
      <c r="E26" s="103"/>
      <c r="F26" s="104"/>
    </row>
    <row r="27" spans="1:8" x14ac:dyDescent="0.3">
      <c r="A27" s="105"/>
      <c r="B27" s="102"/>
      <c r="C27" s="102"/>
      <c r="D27" s="102"/>
      <c r="E27" s="103"/>
      <c r="F27" s="104"/>
    </row>
    <row r="28" spans="1:8" x14ac:dyDescent="0.3">
      <c r="A28" s="106" t="s">
        <v>358</v>
      </c>
      <c r="B28" s="102"/>
      <c r="C28" s="93"/>
      <c r="D28" s="107" t="s">
        <v>359</v>
      </c>
      <c r="E28" s="108"/>
      <c r="F28" s="104"/>
    </row>
    <row r="29" spans="1:8" x14ac:dyDescent="0.3">
      <c r="A29" s="109" t="s">
        <v>251</v>
      </c>
      <c r="B29" s="102"/>
      <c r="C29" s="93"/>
      <c r="D29" s="110" t="s">
        <v>212</v>
      </c>
      <c r="E29" s="108"/>
      <c r="F29" s="104"/>
    </row>
    <row r="30" spans="1:8" x14ac:dyDescent="0.3">
      <c r="A30" s="109" t="s">
        <v>360</v>
      </c>
      <c r="B30" s="102"/>
      <c r="C30" s="102"/>
      <c r="D30" s="102"/>
      <c r="E30" s="103"/>
      <c r="F30" s="104"/>
    </row>
    <row r="31" spans="1:8" x14ac:dyDescent="0.3">
      <c r="A31" s="109"/>
      <c r="B31" s="102"/>
      <c r="C31" s="102"/>
      <c r="D31" s="102"/>
      <c r="E31" s="103"/>
      <c r="F31" s="104"/>
    </row>
    <row r="32" spans="1:8" x14ac:dyDescent="0.3">
      <c r="A32" s="109"/>
      <c r="B32" s="102"/>
      <c r="C32" s="102"/>
      <c r="D32" s="102"/>
      <c r="E32" s="103"/>
      <c r="F32" s="104"/>
    </row>
    <row r="33" spans="1:6" x14ac:dyDescent="0.3">
      <c r="A33" s="109"/>
      <c r="B33" s="102"/>
      <c r="C33" s="102"/>
      <c r="D33" s="102"/>
      <c r="E33" s="103"/>
      <c r="F33" s="104"/>
    </row>
    <row r="34" spans="1:6" x14ac:dyDescent="0.3">
      <c r="A34" s="106" t="s">
        <v>361</v>
      </c>
      <c r="B34" s="102"/>
      <c r="C34" s="247" t="s">
        <v>590</v>
      </c>
      <c r="D34" s="111" t="s">
        <v>362</v>
      </c>
      <c r="E34" s="112" t="s">
        <v>363</v>
      </c>
      <c r="F34" s="112"/>
    </row>
    <row r="35" spans="1:6" x14ac:dyDescent="0.3">
      <c r="A35" s="109" t="s">
        <v>364</v>
      </c>
      <c r="B35" s="102"/>
      <c r="C35" s="247" t="s">
        <v>592</v>
      </c>
      <c r="D35" s="111" t="s">
        <v>365</v>
      </c>
      <c r="E35" s="243" t="s">
        <v>366</v>
      </c>
      <c r="F35" s="112"/>
    </row>
    <row r="36" spans="1:6" x14ac:dyDescent="0.3">
      <c r="A36" s="109" t="s">
        <v>367</v>
      </c>
      <c r="B36" s="102"/>
      <c r="C36" s="247" t="s">
        <v>591</v>
      </c>
      <c r="D36" s="111" t="s">
        <v>368</v>
      </c>
      <c r="E36" s="112" t="s">
        <v>369</v>
      </c>
      <c r="F36" s="112"/>
    </row>
    <row r="37" spans="1:6" x14ac:dyDescent="0.3">
      <c r="A37" s="109"/>
      <c r="B37" s="102"/>
      <c r="C37" s="102"/>
      <c r="D37" s="102"/>
      <c r="E37" s="113"/>
      <c r="F37" s="114"/>
    </row>
    <row r="38" spans="1:6" x14ac:dyDescent="0.3">
      <c r="A38" s="115" t="s">
        <v>370</v>
      </c>
      <c r="B38" s="116"/>
      <c r="C38" s="116"/>
      <c r="D38" s="116"/>
      <c r="E38" s="108"/>
      <c r="F38" s="117"/>
    </row>
    <row r="39" spans="1:6" x14ac:dyDescent="0.3">
      <c r="A39" s="118" t="s">
        <v>691</v>
      </c>
      <c r="B39" s="119"/>
      <c r="C39" s="120"/>
      <c r="D39" s="120"/>
      <c r="E39" s="121"/>
      <c r="F39" s="122"/>
    </row>
  </sheetData>
  <mergeCells count="6">
    <mergeCell ref="A1:F1"/>
    <mergeCell ref="A2:F2"/>
    <mergeCell ref="A13:B14"/>
    <mergeCell ref="D13:E13"/>
    <mergeCell ref="F13:F14"/>
    <mergeCell ref="D14:E14"/>
  </mergeCells>
  <pageMargins left="0.7" right="0.7" top="0.75" bottom="0.75" header="0.3" footer="0.3"/>
  <pageSetup paperSize="9" scale="78"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4"/>
  <sheetViews>
    <sheetView workbookViewId="0">
      <selection activeCell="E12" sqref="E12"/>
    </sheetView>
  </sheetViews>
  <sheetFormatPr defaultRowHeight="14.4" x14ac:dyDescent="0.3"/>
  <cols>
    <col min="2" max="2" width="55.6640625" bestFit="1" customWidth="1"/>
    <col min="3" max="3" width="14.5546875" bestFit="1" customWidth="1"/>
    <col min="4" max="4" width="14.109375" bestFit="1" customWidth="1"/>
    <col min="8" max="8" width="15.33203125" bestFit="1" customWidth="1"/>
  </cols>
  <sheetData>
    <row r="2" spans="1:8" ht="15.6" x14ac:dyDescent="0.3">
      <c r="A2" s="2083" t="s">
        <v>212</v>
      </c>
      <c r="B2" s="2083"/>
      <c r="C2" s="2083"/>
      <c r="D2" s="2083"/>
    </row>
    <row r="3" spans="1:8" ht="15.6" x14ac:dyDescent="0.3">
      <c r="A3" s="2084" t="s">
        <v>495</v>
      </c>
      <c r="B3" s="2084"/>
      <c r="C3" s="2084"/>
      <c r="D3" s="2084"/>
    </row>
    <row r="4" spans="1:8" ht="15.6" x14ac:dyDescent="0.3">
      <c r="A4" s="23"/>
      <c r="B4" s="23"/>
      <c r="C4" s="23"/>
      <c r="D4" s="23"/>
    </row>
    <row r="5" spans="1:8" ht="15.6" x14ac:dyDescent="0.3">
      <c r="A5" s="25" t="s">
        <v>215</v>
      </c>
      <c r="B5" s="26"/>
      <c r="C5" s="27" t="s">
        <v>243</v>
      </c>
      <c r="D5" s="28" t="s">
        <v>275</v>
      </c>
    </row>
    <row r="6" spans="1:8" ht="15.6" x14ac:dyDescent="0.3">
      <c r="A6" s="29"/>
      <c r="B6" s="30"/>
      <c r="C6" s="31" t="s">
        <v>274</v>
      </c>
      <c r="D6" s="32" t="s">
        <v>274</v>
      </c>
    </row>
    <row r="7" spans="1:8" ht="15.6" x14ac:dyDescent="0.3">
      <c r="A7" s="33" t="s">
        <v>276</v>
      </c>
      <c r="B7" s="34"/>
      <c r="C7" s="35"/>
      <c r="D7" s="36"/>
    </row>
    <row r="8" spans="1:8" ht="15.6" x14ac:dyDescent="0.3">
      <c r="A8" s="37" t="s">
        <v>277</v>
      </c>
      <c r="B8" s="38"/>
      <c r="C8" s="39" t="e">
        <f>+#REF!</f>
        <v>#REF!</v>
      </c>
      <c r="D8" s="39">
        <v>-68566264</v>
      </c>
      <c r="H8" s="39">
        <v>98065644</v>
      </c>
    </row>
    <row r="9" spans="1:8" ht="15.6" x14ac:dyDescent="0.3">
      <c r="A9" s="41" t="s">
        <v>278</v>
      </c>
      <c r="B9" s="42"/>
      <c r="C9" s="39"/>
      <c r="D9" s="43"/>
      <c r="H9" s="39"/>
    </row>
    <row r="10" spans="1:8" ht="15.6" x14ac:dyDescent="0.3">
      <c r="A10" s="44" t="s">
        <v>279</v>
      </c>
      <c r="B10" s="45"/>
      <c r="C10" s="39" t="e">
        <f>+#REF!</f>
        <v>#REF!</v>
      </c>
      <c r="D10" s="39">
        <v>15216997</v>
      </c>
      <c r="H10" s="39">
        <v>15228492</v>
      </c>
    </row>
    <row r="11" spans="1:8" ht="15.6" x14ac:dyDescent="0.3">
      <c r="A11" s="44" t="s">
        <v>280</v>
      </c>
      <c r="B11" s="45"/>
      <c r="C11" s="39" t="e">
        <f>+#REF!</f>
        <v>#REF!</v>
      </c>
      <c r="D11" s="39">
        <v>50486238</v>
      </c>
      <c r="H11" s="39">
        <v>33293825</v>
      </c>
    </row>
    <row r="12" spans="1:8" ht="15.6" x14ac:dyDescent="0.3">
      <c r="A12" s="44" t="s">
        <v>281</v>
      </c>
      <c r="B12" s="45"/>
      <c r="C12" s="40" t="e">
        <f>-#REF!</f>
        <v>#REF!</v>
      </c>
      <c r="D12" s="40">
        <v>-1200494</v>
      </c>
      <c r="H12" s="40">
        <v>-184085468</v>
      </c>
    </row>
    <row r="13" spans="1:8" ht="15.6" x14ac:dyDescent="0.3">
      <c r="A13" s="46" t="s">
        <v>282</v>
      </c>
      <c r="B13" s="47"/>
      <c r="C13" s="48" t="e">
        <f>SUM(C8:C12)</f>
        <v>#REF!</v>
      </c>
      <c r="D13" s="48">
        <f>SUM(D8:D12)</f>
        <v>-4063523</v>
      </c>
      <c r="H13" s="48">
        <v>-37497507</v>
      </c>
    </row>
    <row r="14" spans="1:8" ht="15.6" x14ac:dyDescent="0.3">
      <c r="A14" s="41" t="s">
        <v>278</v>
      </c>
      <c r="B14" s="42"/>
      <c r="C14" s="40"/>
      <c r="D14" s="49"/>
      <c r="H14" s="40"/>
    </row>
    <row r="15" spans="1:8" ht="15.6" x14ac:dyDescent="0.3">
      <c r="A15" s="44" t="s">
        <v>283</v>
      </c>
      <c r="B15" s="45"/>
      <c r="C15" s="39" t="e">
        <f>+#REF!-#REF!</f>
        <v>#REF!</v>
      </c>
      <c r="D15" s="39">
        <v>784148</v>
      </c>
      <c r="H15" s="39">
        <v>478654</v>
      </c>
    </row>
    <row r="16" spans="1:8" ht="15.6" x14ac:dyDescent="0.3">
      <c r="A16" s="44" t="s">
        <v>284</v>
      </c>
      <c r="B16" s="45"/>
      <c r="C16" s="39" t="e">
        <f>-#REF!+#REF!</f>
        <v>#REF!</v>
      </c>
      <c r="D16" s="39">
        <v>20221084</v>
      </c>
      <c r="H16" s="39">
        <v>39251703</v>
      </c>
    </row>
    <row r="17" spans="1:8" ht="15.6" x14ac:dyDescent="0.3">
      <c r="A17" s="44" t="s">
        <v>285</v>
      </c>
      <c r="B17" s="45"/>
      <c r="C17" s="39" t="e">
        <f>+#REF!+#REF!-#REF!-#REF!</f>
        <v>#REF!</v>
      </c>
      <c r="D17" s="39">
        <v>-14612044</v>
      </c>
      <c r="H17" s="39">
        <v>7357536</v>
      </c>
    </row>
    <row r="18" spans="1:8" ht="15.6" x14ac:dyDescent="0.3">
      <c r="A18" s="44" t="s">
        <v>286</v>
      </c>
      <c r="B18" s="45"/>
      <c r="C18" s="39" t="e">
        <f>-#REF!+#REF!</f>
        <v>#REF!</v>
      </c>
      <c r="D18" s="39">
        <v>-109106</v>
      </c>
      <c r="H18" s="39">
        <v>454273</v>
      </c>
    </row>
    <row r="19" spans="1:8" ht="15.6" x14ac:dyDescent="0.3">
      <c r="A19" s="44" t="s">
        <v>287</v>
      </c>
      <c r="B19" s="45"/>
      <c r="C19" s="39" t="e">
        <f>-#REF!-#REF!+#REF!+#REF!</f>
        <v>#REF!</v>
      </c>
      <c r="D19" s="39">
        <v>3901986</v>
      </c>
      <c r="H19" s="39">
        <v>-87239823</v>
      </c>
    </row>
    <row r="20" spans="1:8" ht="15.6" x14ac:dyDescent="0.3">
      <c r="A20" s="46" t="s">
        <v>288</v>
      </c>
      <c r="B20" s="47"/>
      <c r="C20" s="48" t="e">
        <f>SUM(C13:C19)</f>
        <v>#REF!</v>
      </c>
      <c r="D20" s="48">
        <f>SUM(D13:D19)</f>
        <v>6122545</v>
      </c>
      <c r="H20" s="48">
        <v>-77195164</v>
      </c>
    </row>
    <row r="21" spans="1:8" ht="15.6" x14ac:dyDescent="0.3">
      <c r="A21" s="44" t="s">
        <v>289</v>
      </c>
      <c r="B21" s="45"/>
      <c r="C21" s="40" t="e">
        <f>-C11</f>
        <v>#REF!</v>
      </c>
      <c r="D21" s="40">
        <v>-50486238</v>
      </c>
      <c r="H21" s="40">
        <v>-33293825</v>
      </c>
    </row>
    <row r="22" spans="1:8" ht="15.6" x14ac:dyDescent="0.3">
      <c r="A22" s="44" t="s">
        <v>290</v>
      </c>
      <c r="B22" s="45"/>
      <c r="C22" s="40">
        <v>0</v>
      </c>
      <c r="D22" s="49">
        <v>0</v>
      </c>
      <c r="H22" s="40">
        <v>0</v>
      </c>
    </row>
    <row r="23" spans="1:8" ht="15.6" x14ac:dyDescent="0.3">
      <c r="A23" s="46" t="s">
        <v>291</v>
      </c>
      <c r="B23" s="47"/>
      <c r="C23" s="40" t="e">
        <f>SUM(C20:C22)</f>
        <v>#REF!</v>
      </c>
      <c r="D23" s="40">
        <f>SUM(D20:D22)</f>
        <v>-44363693</v>
      </c>
      <c r="H23" s="40">
        <v>-110488989</v>
      </c>
    </row>
    <row r="24" spans="1:8" ht="15.6" x14ac:dyDescent="0.3">
      <c r="A24" s="44" t="s">
        <v>292</v>
      </c>
      <c r="B24" s="45"/>
      <c r="C24" s="40">
        <v>0</v>
      </c>
      <c r="D24" s="49">
        <v>0</v>
      </c>
      <c r="H24" s="40">
        <v>0</v>
      </c>
    </row>
    <row r="25" spans="1:8" ht="15.6" x14ac:dyDescent="0.3">
      <c r="A25" s="33" t="s">
        <v>293</v>
      </c>
      <c r="B25" s="34"/>
      <c r="C25" s="48" t="e">
        <f>SUM(C23:C24)</f>
        <v>#REF!</v>
      </c>
      <c r="D25" s="48">
        <f>SUM(D23:D24)</f>
        <v>-44363693</v>
      </c>
      <c r="H25" s="48">
        <v>-110488989</v>
      </c>
    </row>
    <row r="26" spans="1:8" ht="15.6" x14ac:dyDescent="0.3">
      <c r="A26" s="51"/>
      <c r="B26" s="52"/>
      <c r="C26" s="40"/>
      <c r="D26" s="53"/>
      <c r="H26" s="40"/>
    </row>
    <row r="27" spans="1:8" ht="15.6" x14ac:dyDescent="0.3">
      <c r="A27" s="33" t="s">
        <v>294</v>
      </c>
      <c r="B27" s="34"/>
      <c r="C27" s="40"/>
      <c r="D27" s="49"/>
      <c r="H27" s="40"/>
    </row>
    <row r="28" spans="1:8" ht="15.6" x14ac:dyDescent="0.3">
      <c r="A28" s="41" t="s">
        <v>295</v>
      </c>
      <c r="B28" s="42"/>
      <c r="C28" s="40" t="e">
        <f>-#REF!-#REF!+#REF!</f>
        <v>#REF!</v>
      </c>
      <c r="D28" s="40">
        <v>-3370436</v>
      </c>
      <c r="H28" s="40">
        <v>-101933</v>
      </c>
    </row>
    <row r="29" spans="1:8" ht="15.6" x14ac:dyDescent="0.3">
      <c r="A29" s="41" t="s">
        <v>296</v>
      </c>
      <c r="B29" s="42"/>
      <c r="C29" s="54">
        <v>184085468</v>
      </c>
      <c r="D29" s="40">
        <f>-D12</f>
        <v>1200494</v>
      </c>
      <c r="H29" s="54">
        <v>157089075</v>
      </c>
    </row>
    <row r="30" spans="1:8" ht="15.6" x14ac:dyDescent="0.3">
      <c r="A30" s="41" t="s">
        <v>297</v>
      </c>
      <c r="B30" s="42"/>
      <c r="C30" s="40" t="e">
        <f>+#REF!-#REF!</f>
        <v>#REF!</v>
      </c>
      <c r="D30" s="40">
        <v>-754003</v>
      </c>
      <c r="H30" s="40">
        <v>2374847</v>
      </c>
    </row>
    <row r="31" spans="1:8" ht="15.6" x14ac:dyDescent="0.3">
      <c r="A31" s="33" t="s">
        <v>298</v>
      </c>
      <c r="B31" s="34"/>
      <c r="C31" s="55" t="e">
        <f>SUM(C28:C30)</f>
        <v>#REF!</v>
      </c>
      <c r="D31" s="55">
        <f>SUM(D28:D30)</f>
        <v>-2923945</v>
      </c>
      <c r="H31" s="55">
        <v>159361989</v>
      </c>
    </row>
    <row r="32" spans="1:8" ht="15.6" x14ac:dyDescent="0.3">
      <c r="A32" s="51"/>
      <c r="B32" s="52"/>
      <c r="C32" s="40"/>
      <c r="D32" s="56"/>
      <c r="H32" s="40"/>
    </row>
    <row r="33" spans="1:8" ht="15.6" x14ac:dyDescent="0.3">
      <c r="A33" s="33" t="s">
        <v>299</v>
      </c>
      <c r="B33" s="34"/>
      <c r="C33" s="40"/>
      <c r="D33" s="57"/>
      <c r="H33" s="40"/>
    </row>
    <row r="34" spans="1:8" ht="15.6" x14ac:dyDescent="0.3">
      <c r="A34" s="41" t="s">
        <v>300</v>
      </c>
      <c r="B34" s="42"/>
      <c r="C34" s="39" t="e">
        <f>+#REF!-#REF!</f>
        <v>#REF!</v>
      </c>
      <c r="D34" s="39">
        <v>30929398</v>
      </c>
      <c r="H34" s="39">
        <v>-104005044</v>
      </c>
    </row>
    <row r="35" spans="1:8" ht="15.6" x14ac:dyDescent="0.3">
      <c r="A35" s="41" t="s">
        <v>260</v>
      </c>
      <c r="B35" s="42"/>
      <c r="C35" s="40" t="e">
        <f>+#REF!-#REF!</f>
        <v>#REF!</v>
      </c>
      <c r="D35" s="40">
        <v>390826</v>
      </c>
      <c r="H35" s="40">
        <v>-888344</v>
      </c>
    </row>
    <row r="36" spans="1:8" ht="15.6" x14ac:dyDescent="0.3">
      <c r="A36" s="33" t="s">
        <v>301</v>
      </c>
      <c r="B36" s="34"/>
      <c r="C36" s="48" t="e">
        <f>SUM(C34:C35)</f>
        <v>#REF!</v>
      </c>
      <c r="D36" s="48">
        <f>SUM(D34:D35)</f>
        <v>31320224</v>
      </c>
      <c r="H36" s="48">
        <v>-104893388</v>
      </c>
    </row>
    <row r="37" spans="1:8" ht="15.6" x14ac:dyDescent="0.3">
      <c r="A37" s="51"/>
      <c r="B37" s="52"/>
      <c r="C37" s="40"/>
      <c r="D37" s="55"/>
      <c r="H37" s="40"/>
    </row>
    <row r="38" spans="1:8" ht="15.6" x14ac:dyDescent="0.3">
      <c r="A38" s="33" t="s">
        <v>302</v>
      </c>
      <c r="B38" s="34"/>
      <c r="C38" s="48" t="e">
        <f>C25+C31+C36</f>
        <v>#REF!</v>
      </c>
      <c r="D38" s="48">
        <f>D25+D31+D36+2</f>
        <v>-15967412</v>
      </c>
      <c r="H38" s="48">
        <v>-56020388</v>
      </c>
    </row>
    <row r="39" spans="1:8" ht="15.6" x14ac:dyDescent="0.3">
      <c r="A39" s="51" t="s">
        <v>303</v>
      </c>
      <c r="B39" s="52"/>
      <c r="C39" s="54">
        <v>1586497</v>
      </c>
      <c r="D39" s="58">
        <v>17553911</v>
      </c>
      <c r="H39" s="54">
        <v>1586497</v>
      </c>
    </row>
    <row r="40" spans="1:8" ht="15.6" x14ac:dyDescent="0.3">
      <c r="A40" s="33" t="s">
        <v>304</v>
      </c>
      <c r="B40" s="34"/>
      <c r="C40" s="50" t="e">
        <f>SUM(C38:C39)</f>
        <v>#REF!</v>
      </c>
      <c r="D40" s="59">
        <f>D38+D39</f>
        <v>1586499</v>
      </c>
      <c r="H40" s="50">
        <v>-54433891</v>
      </c>
    </row>
    <row r="41" spans="1:8" ht="15.6" x14ac:dyDescent="0.3">
      <c r="A41" s="60"/>
      <c r="B41" s="61"/>
      <c r="C41" s="62"/>
      <c r="D41" s="62"/>
      <c r="H41" s="62"/>
    </row>
    <row r="42" spans="1:8" ht="15.6" x14ac:dyDescent="0.3">
      <c r="A42" s="23"/>
      <c r="B42" s="23"/>
      <c r="C42" s="63"/>
      <c r="D42" s="54"/>
      <c r="H42" s="63"/>
    </row>
    <row r="43" spans="1:8" ht="15.6" x14ac:dyDescent="0.3">
      <c r="A43" s="23" t="s">
        <v>305</v>
      </c>
      <c r="B43" s="64" t="s">
        <v>306</v>
      </c>
      <c r="C43" s="64">
        <v>1900179</v>
      </c>
      <c r="D43" s="54"/>
      <c r="H43" s="64">
        <v>1900179</v>
      </c>
    </row>
    <row r="44" spans="1:8" ht="15.6" x14ac:dyDescent="0.3">
      <c r="A44" s="65" t="s">
        <v>307</v>
      </c>
      <c r="B44" s="66" t="s">
        <v>212</v>
      </c>
      <c r="C44" s="66"/>
      <c r="D44" s="54"/>
    </row>
    <row r="45" spans="1:8" ht="15.6" x14ac:dyDescent="0.3">
      <c r="A45" s="67" t="s">
        <v>251</v>
      </c>
      <c r="B45" s="23"/>
      <c r="C45" s="54" t="e">
        <f>+C40-C43</f>
        <v>#REF!</v>
      </c>
      <c r="D45" s="54"/>
      <c r="H45" s="89">
        <f>+H43-H40</f>
        <v>56334070</v>
      </c>
    </row>
    <row r="46" spans="1:8" ht="15.6" x14ac:dyDescent="0.3">
      <c r="A46" s="67" t="s">
        <v>252</v>
      </c>
      <c r="B46" s="23"/>
      <c r="C46" s="23"/>
      <c r="D46" s="54"/>
    </row>
    <row r="47" spans="1:8" ht="15.6" x14ac:dyDescent="0.3">
      <c r="A47" s="67"/>
      <c r="B47" s="23"/>
      <c r="C47" s="23"/>
      <c r="D47" s="54"/>
    </row>
    <row r="48" spans="1:8" ht="15.6" x14ac:dyDescent="0.3">
      <c r="A48" s="23"/>
      <c r="B48" s="23"/>
      <c r="C48" s="23"/>
      <c r="D48" s="54"/>
    </row>
    <row r="49" spans="1:4" ht="15.6" x14ac:dyDescent="0.3">
      <c r="A49" s="2085" t="s">
        <v>308</v>
      </c>
      <c r="B49" s="2085"/>
      <c r="C49" s="2085"/>
      <c r="D49" s="2085"/>
    </row>
    <row r="50" spans="1:4" ht="15.6" x14ac:dyDescent="0.3">
      <c r="A50" s="2086" t="s">
        <v>309</v>
      </c>
      <c r="B50" s="2086"/>
      <c r="C50" s="2086"/>
      <c r="D50" s="2086"/>
    </row>
    <row r="51" spans="1:4" ht="15.6" x14ac:dyDescent="0.3">
      <c r="A51" s="2086" t="s">
        <v>310</v>
      </c>
      <c r="B51" s="2086"/>
      <c r="C51" s="2086"/>
      <c r="D51" s="2086"/>
    </row>
    <row r="52" spans="1:4" ht="15.6" x14ac:dyDescent="0.3">
      <c r="A52" s="23"/>
      <c r="B52" s="23"/>
      <c r="C52" s="23"/>
      <c r="D52" s="54"/>
    </row>
    <row r="53" spans="1:4" ht="15.6" x14ac:dyDescent="0.3">
      <c r="A53" s="67" t="s">
        <v>253</v>
      </c>
      <c r="B53" s="23"/>
      <c r="C53" s="68"/>
      <c r="D53" s="54"/>
    </row>
    <row r="54" spans="1:4" ht="15.6" x14ac:dyDescent="0.3">
      <c r="A54" s="68"/>
      <c r="B54" s="23"/>
      <c r="C54" s="54"/>
      <c r="D54" s="69"/>
    </row>
  </sheetData>
  <mergeCells count="5">
    <mergeCell ref="A2:D2"/>
    <mergeCell ref="A3:D3"/>
    <mergeCell ref="A49:D49"/>
    <mergeCell ref="A50:D50"/>
    <mergeCell ref="A51:D51"/>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view="pageBreakPreview" topLeftCell="A28" zoomScaleSheetLayoutView="100" workbookViewId="0">
      <selection activeCell="D48" sqref="D48"/>
    </sheetView>
  </sheetViews>
  <sheetFormatPr defaultRowHeight="14.4" x14ac:dyDescent="0.3"/>
  <cols>
    <col min="1" max="1" width="1.5546875" bestFit="1" customWidth="1"/>
    <col min="2" max="2" width="6.88671875" customWidth="1"/>
    <col min="3" max="3" width="9.109375" customWidth="1"/>
    <col min="5" max="5" width="4.6640625" bestFit="1" customWidth="1"/>
    <col min="6" max="6" width="10.88671875" customWidth="1"/>
    <col min="7" max="7" width="18.109375" bestFit="1" customWidth="1"/>
    <col min="8" max="8" width="12.109375" bestFit="1" customWidth="1"/>
    <col min="9" max="9" width="13.5546875" bestFit="1" customWidth="1"/>
  </cols>
  <sheetData>
    <row r="1" spans="1:9" x14ac:dyDescent="0.3">
      <c r="H1" s="180"/>
    </row>
    <row r="2" spans="1:9" x14ac:dyDescent="0.3">
      <c r="A2" s="181"/>
      <c r="B2" s="181" t="s">
        <v>508</v>
      </c>
      <c r="C2" s="181"/>
      <c r="D2" s="181"/>
      <c r="E2" s="181"/>
      <c r="F2" s="182" t="s">
        <v>509</v>
      </c>
      <c r="G2" s="181"/>
      <c r="H2" s="183"/>
      <c r="I2" s="183"/>
    </row>
    <row r="3" spans="1:9" x14ac:dyDescent="0.3">
      <c r="A3" s="181"/>
      <c r="B3" s="181"/>
      <c r="C3" s="181"/>
      <c r="D3" s="181"/>
      <c r="E3" s="181"/>
      <c r="F3" s="181"/>
      <c r="G3" s="181"/>
      <c r="H3" s="183"/>
      <c r="I3" s="183"/>
    </row>
    <row r="4" spans="1:9" x14ac:dyDescent="0.3">
      <c r="A4" s="181"/>
      <c r="B4" s="181" t="s">
        <v>510</v>
      </c>
      <c r="C4" s="181"/>
      <c r="D4" s="181"/>
      <c r="E4" s="181"/>
      <c r="F4" s="181" t="s">
        <v>212</v>
      </c>
      <c r="G4" s="181"/>
      <c r="H4" s="183"/>
      <c r="I4" s="183"/>
    </row>
    <row r="5" spans="1:9" x14ac:dyDescent="0.3">
      <c r="A5" s="181"/>
      <c r="B5" s="181"/>
      <c r="C5" s="181"/>
      <c r="D5" s="181"/>
      <c r="E5" s="181"/>
      <c r="F5" s="184"/>
      <c r="G5" s="181"/>
      <c r="H5" s="183"/>
      <c r="I5" s="183"/>
    </row>
    <row r="6" spans="1:9" x14ac:dyDescent="0.3">
      <c r="A6" s="181"/>
      <c r="B6" s="181"/>
      <c r="C6" s="181"/>
      <c r="D6" s="181"/>
      <c r="E6" s="181"/>
      <c r="F6" s="181"/>
      <c r="G6" s="181"/>
      <c r="H6" s="183"/>
      <c r="I6" s="183"/>
    </row>
    <row r="7" spans="1:9" x14ac:dyDescent="0.3">
      <c r="A7" s="181"/>
      <c r="B7" s="181" t="s">
        <v>511</v>
      </c>
      <c r="C7" s="181"/>
      <c r="D7" s="181"/>
      <c r="E7" s="181"/>
      <c r="F7" s="181" t="s">
        <v>512</v>
      </c>
      <c r="G7" s="185"/>
      <c r="H7" s="186"/>
      <c r="I7" s="186"/>
    </row>
    <row r="8" spans="1:9" x14ac:dyDescent="0.3">
      <c r="A8" s="181"/>
      <c r="B8" s="181"/>
      <c r="C8" s="181"/>
      <c r="D8" s="181"/>
      <c r="E8" s="181"/>
      <c r="F8" s="181" t="s">
        <v>513</v>
      </c>
      <c r="G8" s="181"/>
      <c r="H8" s="183"/>
      <c r="I8" s="183"/>
    </row>
    <row r="9" spans="1:9" x14ac:dyDescent="0.3">
      <c r="A9" s="181"/>
      <c r="B9" s="181"/>
      <c r="C9" s="181"/>
      <c r="D9" s="181"/>
      <c r="E9" s="181"/>
      <c r="F9" s="181"/>
      <c r="G9" s="181"/>
      <c r="H9" s="183"/>
      <c r="I9" s="183"/>
    </row>
    <row r="10" spans="1:9" x14ac:dyDescent="0.3">
      <c r="A10" s="181"/>
      <c r="B10" s="181" t="s">
        <v>327</v>
      </c>
      <c r="C10" s="181"/>
      <c r="D10" s="181"/>
      <c r="E10" s="181"/>
      <c r="F10" s="181" t="s">
        <v>515</v>
      </c>
      <c r="G10" s="181"/>
      <c r="H10" s="183"/>
      <c r="I10" s="183"/>
    </row>
    <row r="11" spans="1:9" x14ac:dyDescent="0.3">
      <c r="A11" s="181"/>
      <c r="B11" s="181"/>
      <c r="C11" s="181"/>
      <c r="D11" s="181"/>
      <c r="E11" s="181"/>
      <c r="F11" s="181"/>
      <c r="G11" s="181"/>
      <c r="H11" s="183"/>
      <c r="I11" s="183"/>
    </row>
    <row r="12" spans="1:9" x14ac:dyDescent="0.3">
      <c r="A12" s="181"/>
      <c r="B12" s="181" t="s">
        <v>514</v>
      </c>
      <c r="C12" s="181"/>
      <c r="D12" s="181"/>
      <c r="E12" s="181"/>
      <c r="F12" s="181" t="s">
        <v>548</v>
      </c>
      <c r="G12" s="181"/>
      <c r="H12" s="183"/>
      <c r="I12" s="183"/>
    </row>
    <row r="13" spans="1:9" x14ac:dyDescent="0.3">
      <c r="A13" s="181"/>
      <c r="B13" s="181"/>
      <c r="C13" s="181"/>
      <c r="D13" s="181"/>
      <c r="E13" s="181"/>
      <c r="F13" s="181"/>
      <c r="G13" s="181"/>
      <c r="H13" s="183"/>
      <c r="I13" s="183"/>
    </row>
    <row r="14" spans="1:9" x14ac:dyDescent="0.3">
      <c r="A14" s="181"/>
      <c r="B14" s="181" t="s">
        <v>516</v>
      </c>
      <c r="C14" s="181"/>
      <c r="D14" s="181"/>
      <c r="E14" s="181"/>
      <c r="F14" s="187">
        <v>34316</v>
      </c>
      <c r="G14" s="181"/>
      <c r="H14" s="183"/>
      <c r="I14" s="183"/>
    </row>
    <row r="15" spans="1:9" x14ac:dyDescent="0.3">
      <c r="A15" s="181"/>
      <c r="B15" s="181"/>
      <c r="C15" s="181"/>
      <c r="D15" s="181"/>
      <c r="E15" s="181"/>
      <c r="F15" s="181"/>
      <c r="G15" s="181"/>
      <c r="H15" s="183"/>
      <c r="I15" s="183"/>
    </row>
    <row r="16" spans="1:9" x14ac:dyDescent="0.3">
      <c r="A16" s="181"/>
      <c r="B16" s="181" t="s">
        <v>517</v>
      </c>
      <c r="C16" s="181"/>
      <c r="D16" s="181"/>
      <c r="E16" s="181"/>
      <c r="F16" s="181" t="s">
        <v>518</v>
      </c>
      <c r="G16" s="181"/>
      <c r="H16" s="183"/>
      <c r="I16" s="183"/>
    </row>
    <row r="17" spans="1:9" x14ac:dyDescent="0.3">
      <c r="A17" s="188"/>
      <c r="B17" s="188"/>
      <c r="C17" s="188"/>
      <c r="D17" s="188"/>
      <c r="E17" s="188"/>
      <c r="F17" s="188"/>
      <c r="G17" s="188"/>
      <c r="H17" s="189"/>
      <c r="I17" s="189"/>
    </row>
    <row r="18" spans="1:9" x14ac:dyDescent="0.3">
      <c r="A18" s="2087" t="s">
        <v>549</v>
      </c>
      <c r="B18" s="2087"/>
      <c r="C18" s="2087"/>
      <c r="D18" s="2087"/>
      <c r="E18" s="2087"/>
      <c r="F18" s="2087"/>
      <c r="G18" s="2087"/>
      <c r="H18" s="2087"/>
      <c r="I18" s="2087"/>
    </row>
    <row r="19" spans="1:9" x14ac:dyDescent="0.3">
      <c r="A19" s="181"/>
      <c r="B19" s="181"/>
      <c r="C19" s="181"/>
      <c r="D19" s="181"/>
      <c r="E19" s="181"/>
      <c r="F19" s="181"/>
      <c r="G19" s="181"/>
      <c r="H19" s="183"/>
      <c r="I19" s="183"/>
    </row>
    <row r="20" spans="1:9" x14ac:dyDescent="0.3">
      <c r="A20" s="184" t="s">
        <v>519</v>
      </c>
      <c r="B20" s="184" t="s">
        <v>520</v>
      </c>
      <c r="C20" s="181"/>
      <c r="D20" s="181"/>
      <c r="E20" s="181"/>
      <c r="F20" s="181"/>
      <c r="G20" s="181"/>
      <c r="H20" s="183"/>
      <c r="I20" s="183"/>
    </row>
    <row r="21" spans="1:9" x14ac:dyDescent="0.3">
      <c r="A21" s="181"/>
      <c r="B21" s="181"/>
      <c r="C21" s="181"/>
      <c r="D21" s="181"/>
      <c r="E21" s="181"/>
      <c r="F21" s="181"/>
      <c r="G21" s="181"/>
      <c r="H21" s="183"/>
      <c r="I21" s="183"/>
    </row>
    <row r="22" spans="1:9" x14ac:dyDescent="0.3">
      <c r="A22" s="181"/>
      <c r="B22" s="181" t="s">
        <v>521</v>
      </c>
      <c r="C22" s="181"/>
      <c r="D22" s="181"/>
      <c r="E22" s="181"/>
      <c r="F22" s="181"/>
      <c r="G22" s="181"/>
      <c r="H22" s="183"/>
      <c r="I22" s="190">
        <f>'P&amp;L'!F29</f>
        <v>-12554622.374154998</v>
      </c>
    </row>
    <row r="23" spans="1:9" x14ac:dyDescent="0.3">
      <c r="A23" s="181"/>
      <c r="B23" s="181"/>
      <c r="C23" s="181"/>
      <c r="D23" s="181"/>
      <c r="E23" s="181"/>
      <c r="F23" s="181"/>
      <c r="G23" s="181"/>
      <c r="H23" s="183"/>
      <c r="I23" s="190"/>
    </row>
    <row r="24" spans="1:9" x14ac:dyDescent="0.3">
      <c r="A24" s="181"/>
      <c r="B24" s="184" t="s">
        <v>615</v>
      </c>
      <c r="C24" s="184" t="s">
        <v>616</v>
      </c>
      <c r="D24" s="181"/>
      <c r="E24" s="181"/>
      <c r="F24" s="181"/>
      <c r="G24" s="181"/>
      <c r="H24" s="183"/>
      <c r="I24" s="190"/>
    </row>
    <row r="25" spans="1:9" x14ac:dyDescent="0.3">
      <c r="A25" s="181"/>
      <c r="B25" s="181"/>
      <c r="C25" s="181" t="s">
        <v>617</v>
      </c>
      <c r="D25" s="181"/>
      <c r="E25" s="181"/>
      <c r="F25" s="181"/>
      <c r="G25" s="181"/>
      <c r="H25" s="183">
        <v>4860495</v>
      </c>
      <c r="I25" s="190"/>
    </row>
    <row r="26" spans="1:9" x14ac:dyDescent="0.3">
      <c r="A26" s="181"/>
      <c r="B26" s="181"/>
      <c r="C26" s="181" t="s">
        <v>618</v>
      </c>
      <c r="D26" s="181"/>
      <c r="E26" s="181"/>
      <c r="F26" s="181"/>
      <c r="G26" s="181"/>
      <c r="H26" s="189">
        <v>771803</v>
      </c>
      <c r="I26" s="189">
        <f>SUM(H25:H26)</f>
        <v>5632298</v>
      </c>
    </row>
    <row r="27" spans="1:9" x14ac:dyDescent="0.3">
      <c r="A27" s="181"/>
      <c r="B27" s="181"/>
      <c r="C27" s="181"/>
      <c r="D27" s="181"/>
      <c r="E27" s="181"/>
      <c r="F27" s="181"/>
      <c r="G27" s="181"/>
      <c r="H27" s="183"/>
      <c r="I27" s="190">
        <f>I22+I26</f>
        <v>-6922324.374154998</v>
      </c>
    </row>
    <row r="28" spans="1:9" x14ac:dyDescent="0.3">
      <c r="A28" s="181"/>
      <c r="B28" s="184" t="s">
        <v>615</v>
      </c>
      <c r="C28" s="184" t="s">
        <v>619</v>
      </c>
      <c r="D28" s="181"/>
      <c r="E28" s="181"/>
      <c r="F28" s="181"/>
      <c r="G28" s="181"/>
      <c r="H28" s="183"/>
      <c r="I28" s="190"/>
    </row>
    <row r="29" spans="1:9" x14ac:dyDescent="0.3">
      <c r="A29" s="181"/>
      <c r="B29" s="181"/>
      <c r="C29" s="181" t="s">
        <v>620</v>
      </c>
      <c r="D29" s="181"/>
      <c r="E29" s="181"/>
      <c r="F29" s="181"/>
      <c r="G29" s="181"/>
      <c r="H29" s="183"/>
      <c r="I29" s="189">
        <v>3065500</v>
      </c>
    </row>
    <row r="30" spans="1:9" x14ac:dyDescent="0.3">
      <c r="A30" s="181"/>
      <c r="B30" s="181"/>
      <c r="C30" s="181"/>
      <c r="D30" s="181"/>
      <c r="E30" s="181"/>
      <c r="F30" s="181"/>
      <c r="G30" s="181"/>
      <c r="H30" s="183"/>
      <c r="I30" s="190">
        <f>I27+I29</f>
        <v>-3856824.374154998</v>
      </c>
    </row>
    <row r="31" spans="1:9" x14ac:dyDescent="0.3">
      <c r="A31" s="181"/>
      <c r="B31" s="181"/>
      <c r="C31" s="181"/>
      <c r="D31" s="181"/>
      <c r="E31" s="181"/>
      <c r="F31" s="181"/>
      <c r="G31" s="181"/>
      <c r="H31" s="183"/>
      <c r="I31" s="190"/>
    </row>
    <row r="32" spans="1:9" x14ac:dyDescent="0.3">
      <c r="A32" s="181"/>
      <c r="B32" s="181" t="s">
        <v>522</v>
      </c>
      <c r="C32" s="181" t="s">
        <v>523</v>
      </c>
      <c r="D32" s="181"/>
      <c r="E32" s="181"/>
      <c r="F32" s="181"/>
      <c r="G32" s="181"/>
      <c r="H32" s="183"/>
      <c r="I32" s="189">
        <f>I30</f>
        <v>-3856824.374154998</v>
      </c>
    </row>
    <row r="33" spans="1:9" x14ac:dyDescent="0.3">
      <c r="A33" s="181"/>
      <c r="B33" s="181"/>
      <c r="C33" s="181"/>
      <c r="D33" s="181"/>
      <c r="E33" s="181"/>
      <c r="F33" s="181"/>
      <c r="G33" s="181"/>
      <c r="H33" s="183"/>
      <c r="I33" s="190">
        <f>I30-I32</f>
        <v>0</v>
      </c>
    </row>
    <row r="34" spans="1:9" x14ac:dyDescent="0.3">
      <c r="A34" s="181"/>
      <c r="B34" s="181"/>
      <c r="C34" s="181"/>
      <c r="D34" s="181"/>
      <c r="E34" s="181"/>
      <c r="F34" s="181"/>
      <c r="G34" s="181"/>
      <c r="H34" s="183"/>
      <c r="I34" s="190"/>
    </row>
    <row r="35" spans="1:9" x14ac:dyDescent="0.3">
      <c r="A35" s="181"/>
      <c r="B35" s="181" t="s">
        <v>524</v>
      </c>
      <c r="C35" s="181" t="s">
        <v>525</v>
      </c>
      <c r="D35" s="181"/>
      <c r="E35" s="181"/>
      <c r="F35" s="181"/>
      <c r="G35" s="181"/>
      <c r="H35" s="183"/>
      <c r="I35" s="189"/>
    </row>
    <row r="36" spans="1:9" x14ac:dyDescent="0.3">
      <c r="A36" s="181"/>
      <c r="B36" s="181"/>
      <c r="C36" s="181"/>
      <c r="D36" s="181"/>
      <c r="E36" s="181"/>
      <c r="F36" s="181"/>
      <c r="G36" s="184" t="s">
        <v>526</v>
      </c>
      <c r="H36" s="183"/>
      <c r="I36" s="191">
        <f>I33-I35</f>
        <v>0</v>
      </c>
    </row>
    <row r="37" spans="1:9" ht="15" thickBot="1" x14ac:dyDescent="0.35">
      <c r="A37" s="181"/>
      <c r="B37" s="181"/>
      <c r="C37" s="181"/>
      <c r="D37" s="181"/>
      <c r="E37" s="181"/>
      <c r="F37" s="181"/>
      <c r="G37" s="184" t="s">
        <v>527</v>
      </c>
      <c r="H37" s="183"/>
      <c r="I37" s="192">
        <f>ROUND(I36,-1)</f>
        <v>0</v>
      </c>
    </row>
    <row r="38" spans="1:9" ht="15" thickTop="1" x14ac:dyDescent="0.3">
      <c r="A38" s="181"/>
      <c r="B38" s="181"/>
      <c r="C38" s="181"/>
      <c r="D38" s="181"/>
      <c r="E38" s="181"/>
      <c r="F38" s="181"/>
      <c r="G38" s="181"/>
      <c r="H38" s="183"/>
      <c r="I38" s="193"/>
    </row>
    <row r="39" spans="1:9" x14ac:dyDescent="0.3">
      <c r="A39" s="181"/>
      <c r="B39" s="181" t="s">
        <v>528</v>
      </c>
      <c r="C39" s="181"/>
      <c r="D39" s="181"/>
      <c r="E39" s="194">
        <f>I37</f>
        <v>0</v>
      </c>
      <c r="F39" s="181"/>
      <c r="G39" s="181"/>
      <c r="H39" s="183"/>
      <c r="I39" s="193">
        <f>E39*25%</f>
        <v>0</v>
      </c>
    </row>
    <row r="40" spans="1:9" x14ac:dyDescent="0.3">
      <c r="A40" s="181"/>
      <c r="B40" s="181"/>
      <c r="C40" s="181"/>
      <c r="D40" s="181"/>
      <c r="E40" s="181"/>
      <c r="F40" s="181"/>
      <c r="G40" s="181"/>
      <c r="H40" s="183"/>
      <c r="I40" s="183"/>
    </row>
    <row r="41" spans="1:9" x14ac:dyDescent="0.3">
      <c r="A41" s="181"/>
      <c r="B41" s="181" t="s">
        <v>529</v>
      </c>
      <c r="C41" s="181" t="s">
        <v>530</v>
      </c>
      <c r="D41" s="181"/>
      <c r="E41" s="181"/>
      <c r="F41" s="181"/>
      <c r="G41" s="181"/>
      <c r="H41" s="183"/>
      <c r="I41" s="189">
        <f>I39*3%</f>
        <v>0</v>
      </c>
    </row>
    <row r="42" spans="1:9" x14ac:dyDescent="0.3">
      <c r="A42" s="181"/>
      <c r="B42" s="181"/>
      <c r="C42" s="181"/>
      <c r="D42" s="181"/>
      <c r="E42" s="181"/>
      <c r="F42" s="181"/>
      <c r="G42" s="181"/>
      <c r="H42" s="183"/>
      <c r="I42" s="183">
        <f>SUM(I39:I41)</f>
        <v>0</v>
      </c>
    </row>
    <row r="43" spans="1:9" x14ac:dyDescent="0.3">
      <c r="A43" s="181"/>
      <c r="B43" s="181"/>
      <c r="C43" s="181"/>
      <c r="D43" s="181"/>
      <c r="E43" s="181"/>
      <c r="F43" s="181"/>
      <c r="G43" s="181"/>
      <c r="H43" s="183"/>
      <c r="I43" s="183"/>
    </row>
    <row r="44" spans="1:9" x14ac:dyDescent="0.3">
      <c r="A44" s="181"/>
      <c r="B44" s="181" t="s">
        <v>524</v>
      </c>
      <c r="C44" s="181" t="s">
        <v>531</v>
      </c>
      <c r="D44" s="181"/>
      <c r="E44" s="181"/>
      <c r="F44" s="181"/>
      <c r="G44" s="181"/>
      <c r="H44" s="183"/>
      <c r="I44" s="190"/>
    </row>
    <row r="45" spans="1:9" x14ac:dyDescent="0.3">
      <c r="A45" s="181"/>
      <c r="B45" s="181"/>
      <c r="C45" s="181" t="s">
        <v>532</v>
      </c>
      <c r="D45" s="181"/>
      <c r="E45" s="181"/>
      <c r="F45" s="181"/>
      <c r="G45" s="183"/>
      <c r="H45" s="180"/>
      <c r="I45" s="189">
        <v>19796</v>
      </c>
    </row>
    <row r="46" spans="1:9" ht="15" thickBot="1" x14ac:dyDescent="0.35">
      <c r="A46" s="181"/>
      <c r="B46" s="181"/>
      <c r="C46" s="181"/>
      <c r="D46" s="181"/>
      <c r="E46" s="181"/>
      <c r="F46" s="181"/>
      <c r="G46" s="190"/>
      <c r="H46" s="245" t="s">
        <v>587</v>
      </c>
      <c r="I46" s="246">
        <f>I45-I42</f>
        <v>19796</v>
      </c>
    </row>
    <row r="47" spans="1:9" ht="15" thickTop="1" x14ac:dyDescent="0.3">
      <c r="A47" s="181"/>
      <c r="B47" s="181"/>
      <c r="C47" s="181"/>
      <c r="D47" s="181"/>
      <c r="E47" s="181"/>
      <c r="F47" s="181"/>
      <c r="G47" s="190"/>
      <c r="H47" s="245"/>
      <c r="I47" s="193"/>
    </row>
    <row r="48" spans="1:9" x14ac:dyDescent="0.3">
      <c r="A48" s="181"/>
      <c r="B48" s="181"/>
      <c r="C48" s="181" t="s">
        <v>622</v>
      </c>
      <c r="D48" s="181"/>
      <c r="E48" s="181"/>
      <c r="F48" s="181"/>
      <c r="G48" s="190"/>
      <c r="H48" s="245"/>
      <c r="I48" s="193"/>
    </row>
    <row r="49" spans="1:9" x14ac:dyDescent="0.3">
      <c r="A49" s="181"/>
      <c r="B49" s="181"/>
      <c r="C49" s="181" t="s">
        <v>623</v>
      </c>
      <c r="D49" s="181"/>
      <c r="E49" s="181"/>
      <c r="F49" s="181"/>
      <c r="G49" s="190"/>
      <c r="H49" s="245"/>
      <c r="I49" s="193"/>
    </row>
    <row r="50" spans="1:9" x14ac:dyDescent="0.3">
      <c r="A50" s="181"/>
      <c r="B50" s="181"/>
      <c r="C50" s="181"/>
      <c r="D50" s="181" t="s">
        <v>624</v>
      </c>
      <c r="E50" s="181"/>
      <c r="F50" s="181"/>
      <c r="G50" s="190"/>
      <c r="H50" s="258">
        <v>2000150</v>
      </c>
      <c r="I50" s="193"/>
    </row>
    <row r="51" spans="1:9" x14ac:dyDescent="0.3">
      <c r="A51" s="181"/>
      <c r="B51" s="181"/>
      <c r="C51" s="181"/>
      <c r="D51" s="181" t="s">
        <v>625</v>
      </c>
      <c r="E51" s="181"/>
      <c r="F51" s="181"/>
      <c r="G51" s="190"/>
      <c r="H51" s="258">
        <v>5602811</v>
      </c>
      <c r="I51" s="193"/>
    </row>
    <row r="52" spans="1:9" x14ac:dyDescent="0.3">
      <c r="A52" s="181"/>
      <c r="B52" s="181"/>
      <c r="C52" s="181"/>
      <c r="D52" s="181"/>
      <c r="E52" s="181"/>
      <c r="F52" s="181"/>
      <c r="G52" s="190"/>
      <c r="H52" s="245"/>
      <c r="I52" s="193"/>
    </row>
    <row r="53" spans="1:9" x14ac:dyDescent="0.3">
      <c r="A53" s="181"/>
      <c r="B53" s="181"/>
      <c r="C53" s="181"/>
      <c r="D53" s="181"/>
      <c r="E53" s="181"/>
      <c r="F53" s="181"/>
      <c r="G53" s="190"/>
      <c r="H53" s="245"/>
      <c r="I53" s="193"/>
    </row>
    <row r="54" spans="1:9" x14ac:dyDescent="0.3">
      <c r="A54" s="181"/>
      <c r="B54" s="181"/>
      <c r="C54" s="181"/>
      <c r="D54" s="181"/>
      <c r="E54" s="181"/>
      <c r="F54" s="181"/>
      <c r="G54" s="181"/>
      <c r="H54" s="190">
        <f>SUM(G45:G46)</f>
        <v>0</v>
      </c>
      <c r="I54" s="190"/>
    </row>
    <row r="55" spans="1:9" x14ac:dyDescent="0.3">
      <c r="A55" s="181"/>
      <c r="B55" s="181"/>
      <c r="C55" s="181" t="s">
        <v>533</v>
      </c>
      <c r="D55" s="181"/>
      <c r="E55" s="181"/>
      <c r="F55" s="181"/>
      <c r="G55" s="181"/>
      <c r="H55" s="183"/>
      <c r="I55" s="190"/>
    </row>
    <row r="56" spans="1:9" x14ac:dyDescent="0.3">
      <c r="A56" s="181"/>
      <c r="B56" s="181"/>
      <c r="C56" s="181" t="s">
        <v>534</v>
      </c>
      <c r="D56" s="181"/>
      <c r="E56" s="181"/>
      <c r="F56" s="181"/>
      <c r="H56" s="183"/>
      <c r="I56" s="190"/>
    </row>
    <row r="57" spans="1:9" x14ac:dyDescent="0.3">
      <c r="A57" s="181"/>
      <c r="B57" s="181"/>
      <c r="C57" s="181"/>
      <c r="D57" s="181"/>
      <c r="E57" s="181"/>
      <c r="F57" s="181"/>
      <c r="G57" s="181"/>
      <c r="H57" s="195"/>
      <c r="I57" s="183">
        <f>H54+H56</f>
        <v>0</v>
      </c>
    </row>
    <row r="58" spans="1:9" x14ac:dyDescent="0.3">
      <c r="A58" s="181"/>
      <c r="B58" s="181"/>
      <c r="C58" s="181"/>
      <c r="D58" s="181"/>
      <c r="E58" s="181"/>
      <c r="F58" s="181"/>
      <c r="G58" s="181"/>
      <c r="H58" s="183"/>
      <c r="I58" s="195">
        <f>I42-I57</f>
        <v>0</v>
      </c>
    </row>
    <row r="59" spans="1:9" x14ac:dyDescent="0.3">
      <c r="A59" s="181"/>
      <c r="B59" s="181"/>
      <c r="C59" s="181"/>
      <c r="D59" s="181"/>
      <c r="E59" s="181"/>
      <c r="F59" s="181"/>
      <c r="G59" s="181"/>
      <c r="H59" s="183"/>
      <c r="I59" s="190"/>
    </row>
    <row r="60" spans="1:9" x14ac:dyDescent="0.3">
      <c r="A60" s="181"/>
      <c r="B60" s="181" t="s">
        <v>524</v>
      </c>
      <c r="C60" s="181" t="s">
        <v>535</v>
      </c>
      <c r="D60" s="181"/>
      <c r="E60" s="181"/>
      <c r="F60" s="181"/>
      <c r="G60" s="181"/>
      <c r="H60" s="183"/>
      <c r="I60" s="190" t="e">
        <f>MAT!I39</f>
        <v>#REF!</v>
      </c>
    </row>
    <row r="61" spans="1:9" x14ac:dyDescent="0.3">
      <c r="A61" s="181"/>
      <c r="B61" s="181"/>
      <c r="C61" s="181"/>
      <c r="D61" s="181"/>
      <c r="E61" s="181"/>
      <c r="G61" s="181"/>
      <c r="H61" s="183"/>
      <c r="I61" s="196" t="e">
        <f>I58-I60</f>
        <v>#REF!</v>
      </c>
    </row>
    <row r="62" spans="1:9" x14ac:dyDescent="0.3">
      <c r="A62" s="181"/>
      <c r="B62" s="181"/>
      <c r="C62" s="181"/>
      <c r="D62" s="181"/>
      <c r="E62" s="181"/>
      <c r="F62" s="181"/>
      <c r="G62" s="181"/>
      <c r="H62" s="183"/>
      <c r="I62" s="183"/>
    </row>
    <row r="63" spans="1:9" x14ac:dyDescent="0.3">
      <c r="A63" s="181"/>
      <c r="B63" s="181" t="s">
        <v>529</v>
      </c>
      <c r="C63" s="181" t="s">
        <v>536</v>
      </c>
      <c r="D63" s="181"/>
      <c r="E63" s="181"/>
      <c r="F63" s="181"/>
      <c r="G63" s="181"/>
      <c r="H63" s="180"/>
    </row>
    <row r="64" spans="1:9" x14ac:dyDescent="0.3">
      <c r="C64" s="181" t="s">
        <v>537</v>
      </c>
      <c r="H64" s="197"/>
      <c r="I64" s="198">
        <f>SUM(H63:H64)</f>
        <v>0</v>
      </c>
    </row>
    <row r="65" spans="6:9" ht="15" thickBot="1" x14ac:dyDescent="0.35">
      <c r="F65" s="184" t="s">
        <v>538</v>
      </c>
      <c r="H65" s="180"/>
      <c r="I65" s="199" t="e">
        <f>SUM(I61:I64)</f>
        <v>#REF!</v>
      </c>
    </row>
    <row r="66" spans="6:9" ht="15" thickTop="1" x14ac:dyDescent="0.3">
      <c r="H66" s="180"/>
    </row>
  </sheetData>
  <mergeCells count="1">
    <mergeCell ref="A18:I18"/>
  </mergeCells>
  <pageMargins left="0.7" right="0.7" top="0.75" bottom="0.75" header="0.3" footer="0.3"/>
  <pageSetup paperSize="9" scale="96" orientation="portrait" r:id="rId1"/>
  <rowBreaks count="1" manualBreakCount="1">
    <brk id="52" max="8"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view="pageBreakPreview" topLeftCell="A13" zoomScaleSheetLayoutView="100" workbookViewId="0">
      <selection activeCell="N38" sqref="N38"/>
    </sheetView>
  </sheetViews>
  <sheetFormatPr defaultRowHeight="14.4" x14ac:dyDescent="0.3"/>
  <cols>
    <col min="1" max="1" width="2.5546875" customWidth="1"/>
    <col min="2" max="2" width="6.109375" customWidth="1"/>
    <col min="3" max="3" width="7.5546875" customWidth="1"/>
    <col min="5" max="5" width="6" customWidth="1"/>
    <col min="6" max="6" width="14.109375" customWidth="1"/>
    <col min="7" max="7" width="13.6640625" bestFit="1" customWidth="1"/>
    <col min="8" max="8" width="13.44140625" bestFit="1" customWidth="1"/>
    <col min="9" max="9" width="13.6640625" bestFit="1" customWidth="1"/>
    <col min="11" max="11" width="13.33203125" bestFit="1" customWidth="1"/>
  </cols>
  <sheetData>
    <row r="1" spans="1:9" x14ac:dyDescent="0.3">
      <c r="A1" s="181"/>
      <c r="B1" s="181"/>
      <c r="C1" s="181"/>
      <c r="D1" s="181"/>
      <c r="E1" s="181"/>
      <c r="F1" s="181"/>
      <c r="G1" s="181"/>
      <c r="H1" s="183"/>
      <c r="I1" s="183"/>
    </row>
    <row r="2" spans="1:9" x14ac:dyDescent="0.3">
      <c r="A2" s="181"/>
      <c r="B2" s="181" t="s">
        <v>508</v>
      </c>
      <c r="C2" s="181"/>
      <c r="D2" s="181"/>
      <c r="E2" s="181"/>
      <c r="F2" s="181" t="s">
        <v>509</v>
      </c>
      <c r="G2" s="181"/>
      <c r="H2" s="183"/>
      <c r="I2" s="183"/>
    </row>
    <row r="3" spans="1:9" x14ac:dyDescent="0.3">
      <c r="A3" s="181"/>
      <c r="B3" s="181"/>
      <c r="C3" s="181"/>
      <c r="D3" s="181"/>
      <c r="E3" s="181"/>
      <c r="F3" s="181"/>
      <c r="G3" s="181"/>
      <c r="H3" s="183"/>
      <c r="I3" s="183"/>
    </row>
    <row r="4" spans="1:9" x14ac:dyDescent="0.3">
      <c r="A4" s="181"/>
      <c r="B4" s="181" t="s">
        <v>510</v>
      </c>
      <c r="C4" s="181"/>
      <c r="D4" s="181"/>
      <c r="E4" s="181"/>
      <c r="F4" s="181" t="s">
        <v>212</v>
      </c>
      <c r="G4" s="181"/>
      <c r="H4" s="183"/>
      <c r="I4" s="183"/>
    </row>
    <row r="5" spans="1:9" x14ac:dyDescent="0.3">
      <c r="A5" s="181"/>
      <c r="B5" s="181"/>
      <c r="C5" s="181"/>
      <c r="D5" s="181"/>
      <c r="E5" s="181"/>
      <c r="F5" s="181"/>
      <c r="G5" s="181"/>
      <c r="H5" s="183"/>
      <c r="I5" s="183"/>
    </row>
    <row r="6" spans="1:9" x14ac:dyDescent="0.3">
      <c r="A6" s="181"/>
      <c r="B6" s="181"/>
      <c r="C6" s="181"/>
      <c r="D6" s="181"/>
      <c r="E6" s="181"/>
      <c r="F6" s="181"/>
      <c r="G6" s="181"/>
      <c r="H6" s="183"/>
      <c r="I6" s="183"/>
    </row>
    <row r="7" spans="1:9" x14ac:dyDescent="0.3">
      <c r="A7" s="181"/>
      <c r="B7" s="181" t="s">
        <v>511</v>
      </c>
      <c r="C7" s="181"/>
      <c r="D7" s="181"/>
      <c r="E7" s="181"/>
      <c r="F7" s="181" t="s">
        <v>512</v>
      </c>
      <c r="G7" s="185"/>
      <c r="H7" s="186"/>
      <c r="I7" s="186"/>
    </row>
    <row r="8" spans="1:9" x14ac:dyDescent="0.3">
      <c r="A8" s="181"/>
      <c r="B8" s="181"/>
      <c r="C8" s="181"/>
      <c r="D8" s="181"/>
      <c r="E8" s="181"/>
      <c r="F8" s="181" t="s">
        <v>513</v>
      </c>
      <c r="G8" s="181"/>
      <c r="H8" s="183"/>
      <c r="I8" s="183"/>
    </row>
    <row r="9" spans="1:9" x14ac:dyDescent="0.3">
      <c r="A9" s="181"/>
      <c r="B9" s="181"/>
      <c r="C9" s="181"/>
      <c r="D9" s="181"/>
      <c r="E9" s="181"/>
      <c r="F9" s="181"/>
      <c r="G9" s="181"/>
      <c r="H9" s="183"/>
      <c r="I9" s="183"/>
    </row>
    <row r="10" spans="1:9" x14ac:dyDescent="0.3">
      <c r="A10" s="181"/>
      <c r="B10" s="181" t="s">
        <v>327</v>
      </c>
      <c r="C10" s="181"/>
      <c r="D10" s="181"/>
      <c r="E10" s="181"/>
      <c r="F10" s="181" t="s">
        <v>515</v>
      </c>
      <c r="G10" s="181"/>
      <c r="H10" s="183"/>
      <c r="I10" s="183"/>
    </row>
    <row r="11" spans="1:9" x14ac:dyDescent="0.3">
      <c r="A11" s="181"/>
      <c r="B11" s="181"/>
      <c r="C11" s="181"/>
      <c r="D11" s="181"/>
      <c r="E11" s="181"/>
      <c r="F11" s="181"/>
      <c r="G11" s="181"/>
      <c r="H11" s="183"/>
      <c r="I11" s="183"/>
    </row>
    <row r="12" spans="1:9" x14ac:dyDescent="0.3">
      <c r="A12" s="181"/>
      <c r="B12" s="181" t="s">
        <v>514</v>
      </c>
      <c r="C12" s="181"/>
      <c r="D12" s="181"/>
      <c r="E12" s="181"/>
      <c r="F12" s="181" t="s">
        <v>548</v>
      </c>
      <c r="G12" s="181"/>
      <c r="H12" s="183"/>
      <c r="I12" s="183"/>
    </row>
    <row r="13" spans="1:9" x14ac:dyDescent="0.3">
      <c r="A13" s="181"/>
      <c r="B13" s="181"/>
      <c r="C13" s="181"/>
      <c r="D13" s="181"/>
      <c r="E13" s="181"/>
      <c r="F13" s="181"/>
      <c r="G13" s="181"/>
      <c r="H13" s="183"/>
      <c r="I13" s="183"/>
    </row>
    <row r="14" spans="1:9" x14ac:dyDescent="0.3">
      <c r="A14" s="181"/>
      <c r="B14" s="181" t="s">
        <v>516</v>
      </c>
      <c r="C14" s="181"/>
      <c r="D14" s="181"/>
      <c r="E14" s="181"/>
      <c r="F14" s="202">
        <v>34316</v>
      </c>
      <c r="G14" s="181"/>
      <c r="H14" s="183"/>
      <c r="I14" s="183"/>
    </row>
    <row r="15" spans="1:9" x14ac:dyDescent="0.3">
      <c r="A15" s="181"/>
      <c r="B15" s="181"/>
      <c r="C15" s="181"/>
      <c r="D15" s="181"/>
      <c r="E15" s="181"/>
      <c r="F15" s="181"/>
      <c r="G15" s="181"/>
      <c r="H15" s="183"/>
      <c r="I15" s="183"/>
    </row>
    <row r="16" spans="1:9" x14ac:dyDescent="0.3">
      <c r="A16" s="181"/>
      <c r="B16" s="181" t="s">
        <v>517</v>
      </c>
      <c r="C16" s="181"/>
      <c r="D16" s="181"/>
      <c r="E16" s="181"/>
      <c r="F16" s="181" t="s">
        <v>518</v>
      </c>
      <c r="G16" s="181"/>
      <c r="H16" s="183"/>
      <c r="I16" s="183"/>
    </row>
    <row r="17" spans="1:11" x14ac:dyDescent="0.3">
      <c r="A17" s="188"/>
      <c r="B17" s="188"/>
      <c r="C17" s="188"/>
      <c r="D17" s="188"/>
      <c r="E17" s="188"/>
      <c r="F17" s="188"/>
      <c r="G17" s="188"/>
      <c r="H17" s="189"/>
      <c r="I17" s="189"/>
    </row>
    <row r="18" spans="1:11" x14ac:dyDescent="0.3">
      <c r="A18" s="2087" t="s">
        <v>549</v>
      </c>
      <c r="B18" s="2087"/>
      <c r="C18" s="2087"/>
      <c r="D18" s="2087"/>
      <c r="E18" s="2087"/>
      <c r="F18" s="2087"/>
      <c r="G18" s="2087"/>
      <c r="H18" s="2087"/>
      <c r="I18" s="2087"/>
    </row>
    <row r="19" spans="1:11" x14ac:dyDescent="0.3">
      <c r="A19" s="181"/>
      <c r="B19" s="181"/>
      <c r="C19" s="181"/>
      <c r="D19" s="181"/>
      <c r="E19" s="181"/>
      <c r="F19" s="181"/>
      <c r="G19" s="181"/>
      <c r="H19" s="183"/>
      <c r="I19" s="183"/>
    </row>
    <row r="20" spans="1:11" x14ac:dyDescent="0.3">
      <c r="A20" s="184" t="s">
        <v>519</v>
      </c>
      <c r="B20" s="184" t="s">
        <v>520</v>
      </c>
      <c r="C20" s="181"/>
      <c r="D20" s="181"/>
      <c r="E20" s="181"/>
      <c r="F20" s="181"/>
      <c r="G20" s="181"/>
      <c r="H20" s="183"/>
      <c r="I20" s="183"/>
    </row>
    <row r="21" spans="1:11" x14ac:dyDescent="0.3">
      <c r="A21" s="181"/>
      <c r="B21" s="181"/>
      <c r="C21" s="181"/>
      <c r="D21" s="181"/>
      <c r="E21" s="181"/>
      <c r="F21" s="181"/>
      <c r="G21" s="181"/>
      <c r="H21" s="183"/>
      <c r="I21" s="183"/>
    </row>
    <row r="22" spans="1:11" x14ac:dyDescent="0.3">
      <c r="A22" s="181"/>
      <c r="B22" s="181" t="s">
        <v>539</v>
      </c>
      <c r="C22" s="181"/>
      <c r="D22" s="181"/>
      <c r="E22" s="181"/>
      <c r="F22" s="181"/>
      <c r="G22" s="181"/>
      <c r="H22" s="183"/>
      <c r="I22" s="190">
        <f>'P&amp;L'!F29</f>
        <v>-12554622.374154998</v>
      </c>
    </row>
    <row r="23" spans="1:11" x14ac:dyDescent="0.3">
      <c r="A23" s="181"/>
      <c r="B23" s="181"/>
      <c r="C23" s="181"/>
      <c r="D23" s="181"/>
      <c r="E23" s="181"/>
      <c r="F23" s="181"/>
      <c r="G23" s="181"/>
      <c r="H23" s="183"/>
      <c r="I23" s="190"/>
    </row>
    <row r="24" spans="1:11" x14ac:dyDescent="0.3">
      <c r="A24" s="181"/>
      <c r="B24" s="181" t="s">
        <v>529</v>
      </c>
      <c r="C24" s="181" t="s">
        <v>540</v>
      </c>
      <c r="D24" s="181"/>
      <c r="E24" s="181"/>
      <c r="F24" s="181"/>
      <c r="G24" s="181"/>
      <c r="H24" s="189" t="e">
        <f>#REF!</f>
        <v>#REF!</v>
      </c>
      <c r="I24" s="190"/>
    </row>
    <row r="25" spans="1:11" x14ac:dyDescent="0.3">
      <c r="A25" s="181"/>
      <c r="B25" s="181"/>
      <c r="C25" s="181"/>
      <c r="D25" s="181"/>
      <c r="E25" s="181"/>
      <c r="F25" s="181"/>
      <c r="G25" s="181"/>
      <c r="H25" s="183"/>
      <c r="I25" s="189" t="e">
        <f>SUM(H24:H24)</f>
        <v>#REF!</v>
      </c>
      <c r="K25">
        <v>15228492.400703194</v>
      </c>
    </row>
    <row r="26" spans="1:11" x14ac:dyDescent="0.3">
      <c r="A26" s="181"/>
      <c r="B26" s="181"/>
      <c r="C26" s="181"/>
      <c r="D26" s="181"/>
      <c r="E26" s="181"/>
      <c r="F26" s="181"/>
      <c r="G26" s="181"/>
      <c r="H26" s="183"/>
      <c r="I26" s="190" t="e">
        <f>I22+I25</f>
        <v>#REF!</v>
      </c>
    </row>
    <row r="27" spans="1:11" x14ac:dyDescent="0.3">
      <c r="A27" s="181"/>
      <c r="B27" s="181"/>
      <c r="C27" s="181"/>
      <c r="D27" s="181"/>
      <c r="E27" s="181"/>
      <c r="F27" s="181"/>
      <c r="G27" s="181"/>
      <c r="H27" s="183"/>
      <c r="I27" s="190"/>
    </row>
    <row r="28" spans="1:11" x14ac:dyDescent="0.3">
      <c r="A28" s="181"/>
      <c r="B28" s="181" t="s">
        <v>524</v>
      </c>
      <c r="C28" s="181" t="s">
        <v>541</v>
      </c>
      <c r="D28" s="181"/>
      <c r="E28" s="181"/>
      <c r="F28" s="181"/>
      <c r="G28" s="181"/>
      <c r="H28" s="190" t="e">
        <f>H24</f>
        <v>#REF!</v>
      </c>
      <c r="I28" s="190"/>
    </row>
    <row r="29" spans="1:11" x14ac:dyDescent="0.3">
      <c r="A29" s="181"/>
      <c r="B29" s="181"/>
      <c r="C29" s="181" t="s">
        <v>542</v>
      </c>
      <c r="D29" s="181"/>
      <c r="E29" s="181"/>
      <c r="F29" s="181"/>
      <c r="G29" s="181"/>
      <c r="H29" s="181"/>
      <c r="I29" s="190"/>
    </row>
    <row r="30" spans="1:11" x14ac:dyDescent="0.3">
      <c r="A30" s="181"/>
      <c r="B30" s="181"/>
      <c r="C30" s="185" t="s">
        <v>543</v>
      </c>
      <c r="D30" s="181" t="s">
        <v>544</v>
      </c>
      <c r="E30" s="181"/>
      <c r="F30" s="181"/>
      <c r="G30" s="183">
        <v>70379555</v>
      </c>
      <c r="H30" s="183"/>
      <c r="I30" s="190"/>
      <c r="K30" s="89"/>
    </row>
    <row r="31" spans="1:11" x14ac:dyDescent="0.3">
      <c r="A31" s="181"/>
      <c r="B31" s="181"/>
      <c r="C31" s="185" t="s">
        <v>545</v>
      </c>
      <c r="D31" s="181" t="s">
        <v>546</v>
      </c>
      <c r="E31" s="181"/>
      <c r="F31" s="181"/>
      <c r="G31" s="183">
        <v>481455199</v>
      </c>
      <c r="H31" s="189">
        <f>MIN(G30,G31)</f>
        <v>70379555</v>
      </c>
      <c r="I31" s="190"/>
    </row>
    <row r="32" spans="1:11" x14ac:dyDescent="0.3">
      <c r="A32" s="181"/>
      <c r="B32" s="181"/>
      <c r="C32" s="185"/>
      <c r="D32" s="181"/>
      <c r="E32" s="181"/>
      <c r="F32" s="181"/>
      <c r="G32" s="181"/>
      <c r="H32" s="183"/>
      <c r="I32" s="189" t="e">
        <f>MIN(SUM(H28:H31),I26)</f>
        <v>#REF!</v>
      </c>
    </row>
    <row r="33" spans="1:9" x14ac:dyDescent="0.3">
      <c r="A33" s="181"/>
      <c r="B33" s="181"/>
      <c r="C33" s="181"/>
      <c r="D33" s="181"/>
      <c r="E33" s="181"/>
      <c r="F33" s="181"/>
      <c r="G33" s="184"/>
      <c r="H33" s="200" t="s">
        <v>526</v>
      </c>
      <c r="I33" s="196" t="e">
        <f>I26-I32</f>
        <v>#REF!</v>
      </c>
    </row>
    <row r="34" spans="1:9" ht="15" thickBot="1" x14ac:dyDescent="0.35">
      <c r="A34" s="181"/>
      <c r="B34" s="181"/>
      <c r="C34" s="181"/>
      <c r="D34" s="181"/>
      <c r="E34" s="181"/>
      <c r="F34" s="181"/>
      <c r="G34" s="184"/>
      <c r="H34" s="200" t="s">
        <v>527</v>
      </c>
      <c r="I34" s="192" t="e">
        <f>ROUND(I33,-1)</f>
        <v>#REF!</v>
      </c>
    </row>
    <row r="35" spans="1:9" ht="15" thickTop="1" x14ac:dyDescent="0.3">
      <c r="A35" s="181"/>
      <c r="B35" s="181"/>
      <c r="C35" s="181"/>
      <c r="D35" s="181"/>
      <c r="E35" s="181"/>
      <c r="F35" s="181"/>
      <c r="G35" s="181"/>
      <c r="H35" s="183"/>
      <c r="I35" s="193"/>
    </row>
    <row r="36" spans="1:9" x14ac:dyDescent="0.3">
      <c r="A36" s="181"/>
      <c r="B36" s="181" t="s">
        <v>528</v>
      </c>
      <c r="C36" s="181"/>
      <c r="D36" s="181"/>
      <c r="F36" s="194" t="e">
        <f>I34</f>
        <v>#REF!</v>
      </c>
      <c r="G36" s="181"/>
      <c r="H36" s="183"/>
      <c r="I36" s="193" t="e">
        <f>F36*18.5%</f>
        <v>#REF!</v>
      </c>
    </row>
    <row r="37" spans="1:9" x14ac:dyDescent="0.3">
      <c r="A37" s="181"/>
      <c r="B37" s="181"/>
      <c r="C37" s="181"/>
      <c r="D37" s="181"/>
      <c r="E37" s="181"/>
      <c r="F37" s="181"/>
      <c r="G37" s="181"/>
      <c r="H37" s="183"/>
      <c r="I37" s="183"/>
    </row>
    <row r="38" spans="1:9" x14ac:dyDescent="0.3">
      <c r="A38" s="181"/>
      <c r="B38" s="181" t="s">
        <v>529</v>
      </c>
      <c r="C38" s="181" t="s">
        <v>530</v>
      </c>
      <c r="D38" s="181"/>
      <c r="E38" s="181"/>
      <c r="F38" s="181"/>
      <c r="G38" s="181"/>
      <c r="H38" s="183"/>
      <c r="I38" s="189" t="e">
        <f>I36*4%</f>
        <v>#REF!</v>
      </c>
    </row>
    <row r="39" spans="1:9" ht="15" thickBot="1" x14ac:dyDescent="0.35">
      <c r="A39" s="181"/>
      <c r="B39" s="181"/>
      <c r="C39" s="181"/>
      <c r="D39" s="181"/>
      <c r="E39" s="181"/>
      <c r="F39" s="181"/>
      <c r="G39" s="184"/>
      <c r="H39" s="200" t="s">
        <v>547</v>
      </c>
      <c r="I39" s="201" t="e">
        <f>SUM(I36:I38)</f>
        <v>#REF!</v>
      </c>
    </row>
    <row r="40" spans="1:9" ht="15" thickTop="1" x14ac:dyDescent="0.3">
      <c r="A40" s="181"/>
      <c r="B40" s="181"/>
      <c r="C40" s="181"/>
      <c r="D40" s="181"/>
      <c r="E40" s="181"/>
      <c r="F40" s="181"/>
      <c r="G40" s="181"/>
      <c r="H40" s="183"/>
      <c r="I40" s="183"/>
    </row>
    <row r="41" spans="1:9" x14ac:dyDescent="0.3">
      <c r="A41" s="181"/>
      <c r="B41" s="181"/>
      <c r="C41" s="181"/>
      <c r="D41" s="181"/>
      <c r="E41" s="181"/>
      <c r="F41" s="181"/>
      <c r="G41" s="181"/>
      <c r="H41" s="190"/>
      <c r="I41" s="190"/>
    </row>
    <row r="42" spans="1:9" x14ac:dyDescent="0.3">
      <c r="A42" s="181"/>
      <c r="B42" s="181"/>
      <c r="C42" s="181"/>
      <c r="D42" s="181"/>
      <c r="E42" s="181"/>
      <c r="F42" s="181"/>
      <c r="G42" s="181"/>
      <c r="H42" s="190"/>
      <c r="I42" s="190"/>
    </row>
    <row r="43" spans="1:9" x14ac:dyDescent="0.3">
      <c r="A43" s="181"/>
      <c r="B43" s="181"/>
      <c r="C43" s="181"/>
      <c r="D43" s="181"/>
      <c r="E43" s="181"/>
      <c r="F43" s="181"/>
      <c r="G43" s="181"/>
      <c r="H43" s="190"/>
      <c r="I43" s="190"/>
    </row>
    <row r="44" spans="1:9" x14ac:dyDescent="0.3">
      <c r="A44" s="181"/>
      <c r="B44" s="181"/>
      <c r="C44" s="181"/>
      <c r="D44" s="181"/>
      <c r="E44" s="181"/>
      <c r="F44" s="181"/>
      <c r="G44" s="181"/>
      <c r="H44" s="190"/>
      <c r="I44" s="190"/>
    </row>
    <row r="45" spans="1:9" x14ac:dyDescent="0.3">
      <c r="A45" s="181"/>
      <c r="B45" s="181"/>
      <c r="C45" s="181"/>
      <c r="D45" s="181"/>
      <c r="E45" s="181"/>
      <c r="F45" s="181"/>
      <c r="G45" s="181"/>
      <c r="H45" s="190"/>
      <c r="I45" s="190"/>
    </row>
    <row r="46" spans="1:9" x14ac:dyDescent="0.3">
      <c r="A46" s="181"/>
      <c r="B46" s="181"/>
      <c r="C46" s="181"/>
      <c r="D46" s="181"/>
      <c r="E46" s="181"/>
      <c r="F46" s="181"/>
      <c r="G46" s="181"/>
      <c r="H46" s="190"/>
      <c r="I46" s="190"/>
    </row>
  </sheetData>
  <mergeCells count="1">
    <mergeCell ref="A18:I1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4"/>
  <sheetViews>
    <sheetView topLeftCell="A172" workbookViewId="0">
      <selection activeCell="M102" sqref="M102"/>
    </sheetView>
  </sheetViews>
  <sheetFormatPr defaultRowHeight="14.4" x14ac:dyDescent="0.3"/>
  <cols>
    <col min="1" max="1" width="68.33203125" bestFit="1" customWidth="1"/>
    <col min="2" max="2" width="12.88671875" hidden="1" customWidth="1"/>
    <col min="3" max="4" width="11.77734375" hidden="1" customWidth="1"/>
    <col min="5" max="5" width="14.88671875" hidden="1" customWidth="1"/>
    <col min="6" max="9" width="8.77734375" hidden="1" customWidth="1"/>
    <col min="11" max="12" width="11.33203125" bestFit="1" customWidth="1"/>
    <col min="13" max="13" width="9.77734375" bestFit="1" customWidth="1"/>
  </cols>
  <sheetData>
    <row r="1" spans="1:14" x14ac:dyDescent="0.3">
      <c r="B1" s="1919" t="s">
        <v>3701</v>
      </c>
      <c r="C1" s="1919"/>
      <c r="D1" s="1919"/>
      <c r="E1" s="1919"/>
      <c r="F1" s="1919" t="s">
        <v>3702</v>
      </c>
      <c r="G1" s="1919"/>
      <c r="H1" s="1919"/>
      <c r="I1" s="1919"/>
      <c r="J1" s="1919" t="s">
        <v>3703</v>
      </c>
      <c r="K1" s="1919"/>
      <c r="L1" s="1919"/>
      <c r="M1" s="1919"/>
    </row>
    <row r="2" spans="1:14" x14ac:dyDescent="0.3">
      <c r="B2" s="1892" t="s">
        <v>3704</v>
      </c>
      <c r="C2" s="1892" t="s">
        <v>2237</v>
      </c>
      <c r="D2" s="1892" t="s">
        <v>2236</v>
      </c>
      <c r="E2" s="1892" t="s">
        <v>3705</v>
      </c>
      <c r="F2" s="1892" t="s">
        <v>3704</v>
      </c>
      <c r="G2" s="1892" t="s">
        <v>2237</v>
      </c>
      <c r="H2" s="1892" t="s">
        <v>2236</v>
      </c>
      <c r="I2" s="1892" t="s">
        <v>3705</v>
      </c>
      <c r="J2" s="1892" t="s">
        <v>3704</v>
      </c>
      <c r="K2" s="1892" t="s">
        <v>2237</v>
      </c>
      <c r="L2" s="1892" t="s">
        <v>2236</v>
      </c>
      <c r="M2" s="1892" t="s">
        <v>3705</v>
      </c>
    </row>
    <row r="3" spans="1:14" x14ac:dyDescent="0.3">
      <c r="A3" s="1855" t="s">
        <v>2395</v>
      </c>
      <c r="B3" s="1462"/>
      <c r="C3" s="1460"/>
      <c r="D3" s="1456">
        <v>6459000</v>
      </c>
      <c r="E3" s="1471">
        <v>-6459000</v>
      </c>
      <c r="J3" s="1541">
        <v>0</v>
      </c>
      <c r="K3" s="1541">
        <v>0</v>
      </c>
      <c r="L3" s="1541">
        <v>6459000</v>
      </c>
      <c r="M3" s="1893">
        <v>-6459000</v>
      </c>
    </row>
    <row r="4" spans="1:14" x14ac:dyDescent="0.3">
      <c r="A4" s="1855" t="s">
        <v>3680</v>
      </c>
      <c r="B4" s="1460"/>
      <c r="C4" s="1459">
        <v>3424360</v>
      </c>
      <c r="D4" s="1459">
        <v>3424360</v>
      </c>
      <c r="E4" s="1460"/>
      <c r="F4" s="1460"/>
      <c r="G4" s="1462"/>
      <c r="H4" s="1459">
        <v>1712180</v>
      </c>
      <c r="I4" s="1468">
        <v>-1712180</v>
      </c>
      <c r="J4" s="1541">
        <v>0</v>
      </c>
      <c r="K4" s="1541">
        <v>3424360</v>
      </c>
      <c r="L4" s="1541">
        <v>5136540</v>
      </c>
      <c r="M4" s="1893">
        <v>-1712180</v>
      </c>
    </row>
    <row r="5" spans="1:14" x14ac:dyDescent="0.3">
      <c r="A5" s="1878" t="s">
        <v>3540</v>
      </c>
      <c r="B5" s="1460"/>
      <c r="C5" s="1459">
        <v>26918697.370000001</v>
      </c>
      <c r="D5" s="1459">
        <v>27939150.129999999</v>
      </c>
      <c r="E5" s="1468">
        <v>-1020452.76</v>
      </c>
      <c r="J5" s="1541">
        <v>0</v>
      </c>
      <c r="K5" s="1541">
        <v>26918697.370000001</v>
      </c>
      <c r="L5" s="1541">
        <v>27939150.129999999</v>
      </c>
      <c r="M5" s="1893">
        <v>-1020452.76</v>
      </c>
    </row>
    <row r="6" spans="1:14" x14ac:dyDescent="0.3">
      <c r="A6" s="1878" t="s">
        <v>3672</v>
      </c>
      <c r="B6" s="1460"/>
      <c r="C6" s="1459">
        <v>16508000</v>
      </c>
      <c r="D6" s="1459">
        <v>8496000</v>
      </c>
      <c r="E6" s="1894">
        <v>8012000</v>
      </c>
      <c r="F6" s="1460"/>
      <c r="G6" s="1462"/>
      <c r="H6" s="1459">
        <v>8732000</v>
      </c>
      <c r="I6" s="1468">
        <v>-8732000</v>
      </c>
      <c r="J6" s="1541">
        <v>0</v>
      </c>
      <c r="K6" s="1541">
        <v>16508000</v>
      </c>
      <c r="L6" s="1541">
        <v>17228000</v>
      </c>
      <c r="M6" s="1893">
        <v>-720000</v>
      </c>
    </row>
    <row r="7" spans="1:14" x14ac:dyDescent="0.3">
      <c r="A7" s="1879" t="s">
        <v>3559</v>
      </c>
      <c r="B7" s="1460"/>
      <c r="C7" s="1459">
        <v>6690600</v>
      </c>
      <c r="D7" s="1459">
        <v>7014510</v>
      </c>
      <c r="E7" s="1468">
        <v>-323910</v>
      </c>
      <c r="F7" s="1460"/>
      <c r="G7" s="1462"/>
      <c r="H7" s="1459"/>
      <c r="I7" s="1468"/>
      <c r="J7" s="1541">
        <v>0</v>
      </c>
      <c r="K7" s="1541">
        <v>6690600</v>
      </c>
      <c r="L7" s="1541">
        <v>7014510</v>
      </c>
      <c r="M7" s="1893">
        <v>-323910</v>
      </c>
    </row>
    <row r="8" spans="1:14" x14ac:dyDescent="0.3">
      <c r="A8" s="1878" t="s">
        <v>3665</v>
      </c>
      <c r="B8" s="1460"/>
      <c r="C8" s="1459">
        <v>700000</v>
      </c>
      <c r="D8" s="1459">
        <v>926329.1</v>
      </c>
      <c r="E8" s="1468">
        <v>-226329.1</v>
      </c>
      <c r="J8" s="1541">
        <v>0</v>
      </c>
      <c r="K8" s="1541">
        <v>700000</v>
      </c>
      <c r="L8" s="1541">
        <v>926329.1</v>
      </c>
      <c r="M8" s="1893">
        <v>-226329.1</v>
      </c>
    </row>
    <row r="9" spans="1:14" x14ac:dyDescent="0.3">
      <c r="A9" s="1878" t="s">
        <v>2404</v>
      </c>
      <c r="B9" s="1468">
        <v>-167924.6</v>
      </c>
      <c r="C9" s="1462"/>
      <c r="D9" s="1462"/>
      <c r="E9" s="1468">
        <v>-167924.6</v>
      </c>
      <c r="J9" s="1541">
        <v>-167924.6</v>
      </c>
      <c r="K9" s="1541">
        <v>0</v>
      </c>
      <c r="L9" s="1541">
        <v>0</v>
      </c>
      <c r="M9" s="1893">
        <v>-167924.6</v>
      </c>
    </row>
    <row r="10" spans="1:14" x14ac:dyDescent="0.3">
      <c r="A10" s="1879" t="s">
        <v>3634</v>
      </c>
      <c r="B10" s="1460"/>
      <c r="C10" s="1459">
        <v>110000</v>
      </c>
      <c r="D10" s="1459">
        <v>270755</v>
      </c>
      <c r="E10" s="1468">
        <v>-160755</v>
      </c>
      <c r="J10" s="1541">
        <v>0</v>
      </c>
      <c r="K10" s="1541">
        <v>110000</v>
      </c>
      <c r="L10" s="1541">
        <v>270755</v>
      </c>
      <c r="M10" s="1893">
        <v>-160755</v>
      </c>
    </row>
    <row r="11" spans="1:14" x14ac:dyDescent="0.3">
      <c r="A11" s="1855" t="s">
        <v>2470</v>
      </c>
      <c r="B11" s="1462"/>
      <c r="C11" s="1460"/>
      <c r="D11" s="1456">
        <v>154000</v>
      </c>
      <c r="E11" s="1471">
        <v>-154000</v>
      </c>
      <c r="F11" s="218"/>
      <c r="G11" s="218"/>
      <c r="H11" s="218"/>
      <c r="I11" s="218"/>
      <c r="J11" s="1541">
        <v>0</v>
      </c>
      <c r="K11" s="1541">
        <v>0</v>
      </c>
      <c r="L11" s="1541">
        <v>154000</v>
      </c>
      <c r="M11" s="1893">
        <v>-154000</v>
      </c>
    </row>
    <row r="12" spans="1:14" x14ac:dyDescent="0.3">
      <c r="A12" s="1855" t="s">
        <v>2475</v>
      </c>
      <c r="B12" s="1462"/>
      <c r="C12" s="1460"/>
      <c r="D12" s="1456">
        <v>152539.22</v>
      </c>
      <c r="E12" s="1471">
        <v>-152539.22</v>
      </c>
      <c r="J12" s="1541">
        <v>0</v>
      </c>
      <c r="K12" s="1541">
        <v>0</v>
      </c>
      <c r="L12" s="1541">
        <v>152539.22</v>
      </c>
      <c r="M12" s="1893">
        <v>-152539.22</v>
      </c>
      <c r="N12" t="s">
        <v>3738</v>
      </c>
    </row>
    <row r="13" spans="1:14" x14ac:dyDescent="0.3">
      <c r="A13" s="1855" t="s">
        <v>3637</v>
      </c>
      <c r="B13" s="1460"/>
      <c r="C13" s="1459">
        <v>45099.360000000001</v>
      </c>
      <c r="D13" s="1459">
        <v>184899.36</v>
      </c>
      <c r="E13" s="1468">
        <v>-139800</v>
      </c>
      <c r="J13" s="1541">
        <v>0</v>
      </c>
      <c r="K13" s="1541">
        <v>45099.360000000001</v>
      </c>
      <c r="L13" s="1541">
        <v>184899.36</v>
      </c>
      <c r="M13" s="1893">
        <v>-139800</v>
      </c>
    </row>
    <row r="14" spans="1:14" x14ac:dyDescent="0.3">
      <c r="A14" s="1878" t="s">
        <v>3544</v>
      </c>
      <c r="B14" s="1460"/>
      <c r="C14" s="1459">
        <v>241364.9</v>
      </c>
      <c r="D14" s="1459">
        <v>329555.90000000002</v>
      </c>
      <c r="E14" s="1468">
        <v>-88191</v>
      </c>
      <c r="F14" s="1460"/>
      <c r="G14" s="1462"/>
      <c r="H14" s="1459"/>
      <c r="I14" s="1468"/>
      <c r="J14" s="1541">
        <v>0</v>
      </c>
      <c r="K14" s="1541">
        <v>241364.9</v>
      </c>
      <c r="L14" s="1541">
        <v>329555.90000000002</v>
      </c>
      <c r="M14" s="1893">
        <v>-88191</v>
      </c>
    </row>
    <row r="15" spans="1:14" x14ac:dyDescent="0.3">
      <c r="A15" s="1879" t="s">
        <v>3551</v>
      </c>
      <c r="B15" s="1460"/>
      <c r="C15" s="1462"/>
      <c r="D15" s="1459">
        <v>85979.25</v>
      </c>
      <c r="E15" s="1468">
        <v>-85979.25</v>
      </c>
      <c r="F15" s="1460"/>
      <c r="G15" s="1462"/>
      <c r="H15" s="1459"/>
      <c r="I15" s="1468"/>
      <c r="J15" s="1541">
        <v>0</v>
      </c>
      <c r="K15" s="1541">
        <v>0</v>
      </c>
      <c r="L15" s="1541">
        <v>85979.25</v>
      </c>
      <c r="M15" s="1893">
        <v>-85979.25</v>
      </c>
    </row>
    <row r="16" spans="1:14" x14ac:dyDescent="0.3">
      <c r="A16" s="1855" t="s">
        <v>2471</v>
      </c>
      <c r="B16" s="1462"/>
      <c r="C16" s="1460"/>
      <c r="D16" s="1456">
        <v>73860</v>
      </c>
      <c r="E16" s="1471">
        <v>-73860</v>
      </c>
      <c r="J16" s="1541">
        <v>0</v>
      </c>
      <c r="K16" s="1541">
        <v>0</v>
      </c>
      <c r="L16" s="1541">
        <v>73860</v>
      </c>
      <c r="M16" s="1893">
        <v>-73860</v>
      </c>
    </row>
    <row r="17" spans="1:14" x14ac:dyDescent="0.3">
      <c r="A17" s="1878" t="s">
        <v>3678</v>
      </c>
      <c r="B17" s="1460"/>
      <c r="C17" s="1459">
        <v>701831</v>
      </c>
      <c r="D17" s="1459">
        <v>386745</v>
      </c>
      <c r="E17" s="1894">
        <v>315086</v>
      </c>
      <c r="F17" s="1460"/>
      <c r="G17" s="1462"/>
      <c r="H17" s="1459">
        <v>386745</v>
      </c>
      <c r="I17" s="1468">
        <v>-386745</v>
      </c>
      <c r="J17" s="1541">
        <v>0</v>
      </c>
      <c r="K17" s="1541">
        <v>701831</v>
      </c>
      <c r="L17" s="1541">
        <v>773490</v>
      </c>
      <c r="M17" s="1893">
        <v>-71659</v>
      </c>
    </row>
    <row r="18" spans="1:14" x14ac:dyDescent="0.3">
      <c r="A18" s="1855" t="s">
        <v>3633</v>
      </c>
      <c r="B18" s="1460"/>
      <c r="C18" s="1459">
        <v>363965</v>
      </c>
      <c r="D18" s="1459">
        <v>434715</v>
      </c>
      <c r="E18" s="1468">
        <v>-70750</v>
      </c>
      <c r="J18" s="1541">
        <v>0</v>
      </c>
      <c r="K18" s="1541">
        <v>363965</v>
      </c>
      <c r="L18" s="1541">
        <v>434715</v>
      </c>
      <c r="M18" s="1893">
        <v>-70750</v>
      </c>
      <c r="N18" t="s">
        <v>3739</v>
      </c>
    </row>
    <row r="19" spans="1:14" x14ac:dyDescent="0.3">
      <c r="A19" s="1855" t="s">
        <v>3612</v>
      </c>
      <c r="B19" s="1460"/>
      <c r="C19" s="1459">
        <v>142800</v>
      </c>
      <c r="D19" s="1459">
        <v>197000</v>
      </c>
      <c r="E19" s="1468">
        <v>-54200</v>
      </c>
      <c r="J19" s="1541">
        <v>0</v>
      </c>
      <c r="K19" s="1541">
        <v>142800</v>
      </c>
      <c r="L19" s="1541">
        <v>197000</v>
      </c>
      <c r="M19" s="1893">
        <v>-54200</v>
      </c>
    </row>
    <row r="20" spans="1:14" x14ac:dyDescent="0.3">
      <c r="A20" s="1855" t="s">
        <v>3706</v>
      </c>
      <c r="B20" s="1894">
        <v>5417.5</v>
      </c>
      <c r="C20" s="1459">
        <v>54512</v>
      </c>
      <c r="D20" s="1459">
        <v>101709.8</v>
      </c>
      <c r="E20" s="1468">
        <v>-41780.300000000003</v>
      </c>
      <c r="J20" s="1541">
        <v>5417.5</v>
      </c>
      <c r="K20" s="1541">
        <v>54512</v>
      </c>
      <c r="L20" s="1541">
        <v>101709.8</v>
      </c>
      <c r="M20" s="1893">
        <v>-41780.300000000003</v>
      </c>
    </row>
    <row r="21" spans="1:14" x14ac:dyDescent="0.3">
      <c r="A21" s="1855" t="s">
        <v>3707</v>
      </c>
      <c r="B21" s="1468">
        <v>-15899.38</v>
      </c>
      <c r="C21" s="1459">
        <v>53422</v>
      </c>
      <c r="D21" s="1459">
        <v>76973</v>
      </c>
      <c r="E21" s="1468">
        <v>-39450.379999999997</v>
      </c>
      <c r="J21" s="1541">
        <v>-15899.38</v>
      </c>
      <c r="K21" s="1541">
        <v>53422</v>
      </c>
      <c r="L21" s="1541">
        <v>76973</v>
      </c>
      <c r="M21" s="1893">
        <v>-39450.379999999997</v>
      </c>
    </row>
    <row r="22" spans="1:14" x14ac:dyDescent="0.3">
      <c r="A22" s="1855" t="s">
        <v>3542</v>
      </c>
      <c r="B22" s="1460"/>
      <c r="C22" s="1459">
        <v>63895</v>
      </c>
      <c r="D22" s="1459">
        <v>102911</v>
      </c>
      <c r="E22" s="1468">
        <v>-39016</v>
      </c>
      <c r="F22" s="1460"/>
      <c r="G22" s="1462"/>
      <c r="H22" s="1459"/>
      <c r="I22" s="1468"/>
      <c r="J22" s="1541">
        <v>0</v>
      </c>
      <c r="K22" s="1541">
        <v>63895</v>
      </c>
      <c r="L22" s="1541">
        <v>102911</v>
      </c>
      <c r="M22" s="1893">
        <v>-39016</v>
      </c>
    </row>
    <row r="23" spans="1:14" x14ac:dyDescent="0.3">
      <c r="A23" s="1878" t="s">
        <v>3708</v>
      </c>
      <c r="B23" s="1894">
        <v>8.41</v>
      </c>
      <c r="C23" s="1459">
        <v>17700</v>
      </c>
      <c r="D23" s="1459">
        <v>53100</v>
      </c>
      <c r="E23" s="1468">
        <v>-35391.589999999997</v>
      </c>
      <c r="J23" s="1541">
        <v>8.41</v>
      </c>
      <c r="K23" s="1541">
        <v>17700</v>
      </c>
      <c r="L23" s="1541">
        <v>53100</v>
      </c>
      <c r="M23" s="1893">
        <v>-35391.589999999997</v>
      </c>
    </row>
    <row r="24" spans="1:14" x14ac:dyDescent="0.3">
      <c r="A24" s="1855" t="s">
        <v>3670</v>
      </c>
      <c r="B24" s="1460"/>
      <c r="C24" s="1459">
        <v>83000</v>
      </c>
      <c r="D24" s="1459">
        <v>73000</v>
      </c>
      <c r="E24" s="1894">
        <v>10000</v>
      </c>
      <c r="F24" s="1460"/>
      <c r="G24" s="1462"/>
      <c r="H24" s="1459">
        <v>45000</v>
      </c>
      <c r="I24" s="1468">
        <v>-45000</v>
      </c>
      <c r="J24" s="1541">
        <v>0</v>
      </c>
      <c r="K24" s="1541">
        <v>83000</v>
      </c>
      <c r="L24" s="1541">
        <v>118000</v>
      </c>
      <c r="M24" s="1893">
        <v>-35000</v>
      </c>
    </row>
    <row r="25" spans="1:14" x14ac:dyDescent="0.3">
      <c r="A25" s="1878" t="s">
        <v>3629</v>
      </c>
      <c r="B25" s="1460"/>
      <c r="C25" s="1462"/>
      <c r="D25" s="1459">
        <v>33040</v>
      </c>
      <c r="E25" s="1468">
        <v>-33040</v>
      </c>
      <c r="J25" s="1541">
        <v>0</v>
      </c>
      <c r="K25" s="1541">
        <v>0</v>
      </c>
      <c r="L25" s="1541">
        <v>33040</v>
      </c>
      <c r="M25" s="1893">
        <v>-33040</v>
      </c>
    </row>
    <row r="26" spans="1:14" x14ac:dyDescent="0.3">
      <c r="A26" s="1878" t="s">
        <v>3624</v>
      </c>
      <c r="B26" s="1460"/>
      <c r="C26" s="1459">
        <v>55000</v>
      </c>
      <c r="D26" s="1459">
        <v>80600</v>
      </c>
      <c r="E26" s="1468">
        <v>-25600</v>
      </c>
      <c r="J26" s="1541">
        <v>0</v>
      </c>
      <c r="K26" s="1541">
        <v>55000</v>
      </c>
      <c r="L26" s="1541">
        <v>80600</v>
      </c>
      <c r="M26" s="1893">
        <v>-25600</v>
      </c>
    </row>
    <row r="27" spans="1:14" x14ac:dyDescent="0.3">
      <c r="A27" s="1878" t="s">
        <v>3669</v>
      </c>
      <c r="B27" s="1460"/>
      <c r="C27" s="1459"/>
      <c r="D27" s="1459"/>
      <c r="E27" s="1894"/>
      <c r="F27" s="1460"/>
      <c r="G27" s="1462"/>
      <c r="H27" s="1459">
        <v>17000</v>
      </c>
      <c r="I27" s="1468">
        <v>-17000</v>
      </c>
      <c r="J27" s="1541">
        <v>0</v>
      </c>
      <c r="K27" s="1541">
        <v>0</v>
      </c>
      <c r="L27" s="1541">
        <v>17000</v>
      </c>
      <c r="M27" s="1893">
        <v>-17000</v>
      </c>
    </row>
    <row r="28" spans="1:14" x14ac:dyDescent="0.3">
      <c r="A28" s="1878" t="s">
        <v>3709</v>
      </c>
      <c r="B28" s="1468">
        <v>-13205.17</v>
      </c>
      <c r="C28" s="1462"/>
      <c r="D28" s="1462"/>
      <c r="E28" s="1468">
        <v>-13205.17</v>
      </c>
      <c r="J28" s="1541">
        <v>-13205.17</v>
      </c>
      <c r="K28" s="1541">
        <v>0</v>
      </c>
      <c r="L28" s="1541">
        <v>0</v>
      </c>
      <c r="M28" s="1893">
        <v>-13205.17</v>
      </c>
    </row>
    <row r="29" spans="1:14" x14ac:dyDescent="0.3">
      <c r="A29" s="1855" t="s">
        <v>3710</v>
      </c>
      <c r="B29" s="1468">
        <v>-9500</v>
      </c>
      <c r="C29" s="1462"/>
      <c r="D29" s="1462"/>
      <c r="E29" s="1468">
        <v>-9500</v>
      </c>
      <c r="J29" s="1541">
        <v>-9500</v>
      </c>
      <c r="K29" s="1541">
        <v>0</v>
      </c>
      <c r="L29" s="1541">
        <v>0</v>
      </c>
      <c r="M29" s="1893">
        <v>-9500</v>
      </c>
    </row>
    <row r="30" spans="1:14" x14ac:dyDescent="0.3">
      <c r="A30" s="1878" t="s">
        <v>3673</v>
      </c>
      <c r="B30" s="1460"/>
      <c r="C30" s="1459">
        <v>15568000</v>
      </c>
      <c r="D30" s="1459">
        <v>7788000</v>
      </c>
      <c r="E30" s="1894">
        <v>7780000</v>
      </c>
      <c r="F30" s="1460"/>
      <c r="G30" s="1462"/>
      <c r="H30" s="1459">
        <v>7788000</v>
      </c>
      <c r="I30" s="1468">
        <v>-7788000</v>
      </c>
      <c r="J30" s="1541">
        <v>0</v>
      </c>
      <c r="K30" s="1541">
        <v>15568000</v>
      </c>
      <c r="L30" s="1541">
        <v>15576000</v>
      </c>
      <c r="M30" s="1893">
        <v>-8000</v>
      </c>
    </row>
    <row r="31" spans="1:14" x14ac:dyDescent="0.3">
      <c r="A31" s="1878" t="s">
        <v>3711</v>
      </c>
      <c r="B31" s="1468">
        <v>-5050</v>
      </c>
      <c r="C31" s="1462"/>
      <c r="D31" s="1462"/>
      <c r="E31" s="1468">
        <v>-5050</v>
      </c>
      <c r="J31" s="1541">
        <v>-5050</v>
      </c>
      <c r="K31" s="1541">
        <v>0</v>
      </c>
      <c r="L31" s="1541">
        <v>0</v>
      </c>
      <c r="M31" s="1893">
        <v>-5050</v>
      </c>
    </row>
    <row r="32" spans="1:14" x14ac:dyDescent="0.3">
      <c r="A32" s="1878" t="s">
        <v>3712</v>
      </c>
      <c r="B32" s="1460"/>
      <c r="C32" s="1462"/>
      <c r="D32" s="1459">
        <v>4250</v>
      </c>
      <c r="E32" s="1468">
        <v>-4250</v>
      </c>
      <c r="J32" s="1541">
        <v>0</v>
      </c>
      <c r="K32" s="1541">
        <v>0</v>
      </c>
      <c r="L32" s="1541">
        <v>4250</v>
      </c>
      <c r="M32" s="1893">
        <v>-4250</v>
      </c>
    </row>
    <row r="33" spans="1:14" x14ac:dyDescent="0.3">
      <c r="A33" s="1879" t="s">
        <v>3644</v>
      </c>
      <c r="B33" s="1460"/>
      <c r="C33" s="1459">
        <v>25000</v>
      </c>
      <c r="D33" s="1459">
        <v>27950</v>
      </c>
      <c r="E33" s="1468">
        <v>-2950</v>
      </c>
      <c r="J33" s="1541">
        <v>0</v>
      </c>
      <c r="K33" s="1541">
        <v>25000</v>
      </c>
      <c r="L33" s="1541">
        <v>27950</v>
      </c>
      <c r="M33" s="1893">
        <v>-2950</v>
      </c>
      <c r="N33" t="s">
        <v>3740</v>
      </c>
    </row>
    <row r="34" spans="1:14" x14ac:dyDescent="0.3">
      <c r="A34" s="1878" t="s">
        <v>3580</v>
      </c>
      <c r="B34" s="1460"/>
      <c r="C34" s="1459">
        <v>39170</v>
      </c>
      <c r="D34" s="1459">
        <v>39176</v>
      </c>
      <c r="E34" s="1468">
        <v>-6</v>
      </c>
      <c r="J34" s="1541">
        <v>0</v>
      </c>
      <c r="K34" s="1541">
        <v>39170</v>
      </c>
      <c r="L34" s="1541">
        <v>39176</v>
      </c>
      <c r="M34" s="1893">
        <v>-6</v>
      </c>
    </row>
    <row r="35" spans="1:14" x14ac:dyDescent="0.3">
      <c r="A35" s="1878" t="s">
        <v>3627</v>
      </c>
      <c r="B35" s="1460"/>
      <c r="C35" s="1459">
        <v>74459.929999999993</v>
      </c>
      <c r="D35" s="1459">
        <v>74465.33</v>
      </c>
      <c r="E35" s="1468">
        <v>-5.4</v>
      </c>
      <c r="J35" s="1541">
        <v>0</v>
      </c>
      <c r="K35" s="1541">
        <v>74459.929999999993</v>
      </c>
      <c r="L35" s="1541">
        <v>74465.33</v>
      </c>
      <c r="M35" s="1893">
        <v>-5.4</v>
      </c>
    </row>
    <row r="36" spans="1:14" x14ac:dyDescent="0.3">
      <c r="A36" s="1878" t="s">
        <v>3539</v>
      </c>
      <c r="B36" s="1460"/>
      <c r="C36" s="1459">
        <v>40320</v>
      </c>
      <c r="D36" s="1459">
        <v>40321</v>
      </c>
      <c r="E36" s="1468">
        <v>-1</v>
      </c>
      <c r="J36" s="1541">
        <v>0</v>
      </c>
      <c r="K36" s="1541">
        <v>40320</v>
      </c>
      <c r="L36" s="1541">
        <v>40321</v>
      </c>
      <c r="M36" s="1893">
        <v>-1</v>
      </c>
    </row>
    <row r="37" spans="1:14" x14ac:dyDescent="0.3">
      <c r="A37" s="1895" t="s">
        <v>3713</v>
      </c>
      <c r="B37" s="1896">
        <v>381605</v>
      </c>
      <c r="C37" s="1460"/>
      <c r="D37" s="1460"/>
      <c r="E37" s="1896">
        <v>381605</v>
      </c>
      <c r="F37" s="1468">
        <v>-381605</v>
      </c>
      <c r="G37" s="1462"/>
      <c r="H37" s="1462"/>
      <c r="I37" s="1468">
        <v>-381605</v>
      </c>
      <c r="J37" s="1541">
        <v>0</v>
      </c>
      <c r="K37" s="1541">
        <v>0</v>
      </c>
      <c r="L37" s="1541">
        <v>0</v>
      </c>
      <c r="M37" s="1893">
        <v>0</v>
      </c>
    </row>
    <row r="38" spans="1:14" x14ac:dyDescent="0.3">
      <c r="A38" s="1895" t="s">
        <v>3714</v>
      </c>
      <c r="B38" s="1896">
        <v>728000</v>
      </c>
      <c r="C38" s="1460"/>
      <c r="D38" s="1460"/>
      <c r="E38" s="1896">
        <v>728000</v>
      </c>
      <c r="F38" s="1468">
        <v>-728000</v>
      </c>
      <c r="G38" s="1462"/>
      <c r="H38" s="1462"/>
      <c r="I38" s="1468">
        <v>-728000</v>
      </c>
      <c r="J38" s="1541">
        <v>0</v>
      </c>
      <c r="K38" s="1541">
        <v>0</v>
      </c>
      <c r="L38" s="1541">
        <v>0</v>
      </c>
      <c r="M38" s="1893">
        <v>0</v>
      </c>
    </row>
    <row r="39" spans="1:14" x14ac:dyDescent="0.3">
      <c r="A39" s="1878" t="s">
        <v>3715</v>
      </c>
      <c r="B39" s="1894">
        <v>3420949.6</v>
      </c>
      <c r="C39" s="1462"/>
      <c r="D39" s="1462"/>
      <c r="E39" s="1894">
        <v>3420949.6</v>
      </c>
      <c r="F39" s="1468">
        <v>-3420949.6</v>
      </c>
      <c r="G39" s="1462"/>
      <c r="H39" s="1462"/>
      <c r="I39" s="1468">
        <v>-3420949.6</v>
      </c>
      <c r="J39" s="1541">
        <v>0</v>
      </c>
      <c r="K39" s="1541">
        <v>0</v>
      </c>
      <c r="L39" s="1541">
        <v>0</v>
      </c>
      <c r="M39" s="1893">
        <v>0</v>
      </c>
    </row>
    <row r="40" spans="1:14" x14ac:dyDescent="0.3">
      <c r="A40" s="1878" t="s">
        <v>3547</v>
      </c>
      <c r="B40" s="1460"/>
      <c r="C40" s="1459">
        <v>4123</v>
      </c>
      <c r="D40" s="1459">
        <v>4123</v>
      </c>
      <c r="E40" s="1460"/>
      <c r="F40" s="1460"/>
      <c r="G40" s="1462"/>
      <c r="H40" s="1459"/>
      <c r="I40" s="1468"/>
      <c r="J40" s="1541">
        <v>0</v>
      </c>
      <c r="K40" s="1541">
        <v>4123</v>
      </c>
      <c r="L40" s="1541">
        <v>4123</v>
      </c>
      <c r="M40" s="1893">
        <v>0</v>
      </c>
    </row>
    <row r="41" spans="1:14" x14ac:dyDescent="0.3">
      <c r="A41" s="1878" t="s">
        <v>3667</v>
      </c>
      <c r="B41" s="1460"/>
      <c r="C41" s="1459">
        <v>961700</v>
      </c>
      <c r="D41" s="1459">
        <v>480850</v>
      </c>
      <c r="E41" s="1894">
        <v>480850</v>
      </c>
      <c r="F41" s="1460"/>
      <c r="G41" s="1462"/>
      <c r="H41" s="1459">
        <v>480850</v>
      </c>
      <c r="I41" s="1468">
        <v>-480850</v>
      </c>
      <c r="J41" s="1541">
        <v>0</v>
      </c>
      <c r="K41" s="1541">
        <v>961700</v>
      </c>
      <c r="L41" s="1541">
        <v>961700</v>
      </c>
      <c r="M41" s="1893">
        <v>0</v>
      </c>
    </row>
    <row r="42" spans="1:14" x14ac:dyDescent="0.3">
      <c r="A42" s="1879" t="s">
        <v>3553</v>
      </c>
      <c r="B42" s="1460"/>
      <c r="C42" s="1459">
        <v>16882.490000000002</v>
      </c>
      <c r="D42" s="1459">
        <v>16882.490000000002</v>
      </c>
      <c r="E42" s="1460"/>
      <c r="F42" s="1460"/>
      <c r="G42" s="1462"/>
      <c r="H42" s="1459"/>
      <c r="I42" s="1468"/>
      <c r="J42" s="1541">
        <v>0</v>
      </c>
      <c r="K42" s="1541">
        <v>16882.490000000002</v>
      </c>
      <c r="L42" s="1541">
        <v>16882.490000000002</v>
      </c>
      <c r="M42" s="1893">
        <v>0</v>
      </c>
    </row>
    <row r="43" spans="1:14" x14ac:dyDescent="0.3">
      <c r="A43" s="1855" t="s">
        <v>3554</v>
      </c>
      <c r="B43" s="1460"/>
      <c r="C43" s="1459">
        <v>152000</v>
      </c>
      <c r="D43" s="1459">
        <v>152000</v>
      </c>
      <c r="E43" s="1460"/>
      <c r="F43" s="1460"/>
      <c r="G43" s="1462"/>
      <c r="H43" s="1459"/>
      <c r="I43" s="1468"/>
      <c r="J43" s="1541">
        <v>0</v>
      </c>
      <c r="K43" s="1541">
        <v>152000</v>
      </c>
      <c r="L43" s="1541">
        <v>152000</v>
      </c>
      <c r="M43" s="1893">
        <v>0</v>
      </c>
    </row>
    <row r="44" spans="1:14" x14ac:dyDescent="0.3">
      <c r="A44" s="1878" t="s">
        <v>3560</v>
      </c>
      <c r="B44" s="1460"/>
      <c r="C44" s="1459">
        <v>22400</v>
      </c>
      <c r="D44" s="1459">
        <v>22400</v>
      </c>
      <c r="E44" s="1460"/>
      <c r="F44" s="1460"/>
      <c r="G44" s="1462"/>
      <c r="H44" s="1459"/>
      <c r="I44" s="1468"/>
      <c r="J44" s="1541">
        <v>0</v>
      </c>
      <c r="K44" s="1541">
        <v>22400</v>
      </c>
      <c r="L44" s="1541">
        <v>22400</v>
      </c>
      <c r="M44" s="1893">
        <v>0</v>
      </c>
    </row>
    <row r="45" spans="1:14" x14ac:dyDescent="0.3">
      <c r="A45" s="1878" t="s">
        <v>3562</v>
      </c>
      <c r="B45" s="1460"/>
      <c r="C45" s="1459">
        <v>29400</v>
      </c>
      <c r="D45" s="1459">
        <v>29400</v>
      </c>
      <c r="E45" s="1460"/>
      <c r="F45" s="1460"/>
      <c r="G45" s="1462"/>
      <c r="H45" s="1459"/>
      <c r="I45" s="1468"/>
      <c r="J45" s="1541">
        <v>0</v>
      </c>
      <c r="K45" s="1541">
        <v>29400</v>
      </c>
      <c r="L45" s="1541">
        <v>29400</v>
      </c>
      <c r="M45" s="1893">
        <v>0</v>
      </c>
    </row>
    <row r="46" spans="1:14" x14ac:dyDescent="0.3">
      <c r="A46" s="1878" t="s">
        <v>3563</v>
      </c>
      <c r="B46" s="1460"/>
      <c r="C46" s="1459">
        <v>10912</v>
      </c>
      <c r="D46" s="1459">
        <v>10912</v>
      </c>
      <c r="E46" s="1460"/>
      <c r="F46" s="1460"/>
      <c r="G46" s="1462"/>
      <c r="H46" s="1459"/>
      <c r="I46" s="1468"/>
      <c r="J46" s="1541">
        <v>0</v>
      </c>
      <c r="K46" s="1541">
        <v>10912</v>
      </c>
      <c r="L46" s="1541">
        <v>10912</v>
      </c>
      <c r="M46" s="1893">
        <v>0</v>
      </c>
    </row>
    <row r="47" spans="1:14" x14ac:dyDescent="0.3">
      <c r="A47" s="1878" t="s">
        <v>3564</v>
      </c>
      <c r="B47" s="1460"/>
      <c r="C47" s="1459">
        <v>590420</v>
      </c>
      <c r="D47" s="1459">
        <v>590420</v>
      </c>
      <c r="E47" s="1460"/>
      <c r="F47" s="1460"/>
      <c r="G47" s="1462"/>
      <c r="H47" s="1459"/>
      <c r="I47" s="1468"/>
      <c r="J47" s="1541">
        <v>0</v>
      </c>
      <c r="K47" s="1541">
        <v>590420</v>
      </c>
      <c r="L47" s="1541">
        <v>590420</v>
      </c>
      <c r="M47" s="1893">
        <v>0</v>
      </c>
    </row>
    <row r="48" spans="1:14" x14ac:dyDescent="0.3">
      <c r="A48" s="1878" t="s">
        <v>3668</v>
      </c>
      <c r="B48" s="1460"/>
      <c r="C48" s="1459">
        <v>2395990</v>
      </c>
      <c r="D48" s="1459">
        <v>1328680</v>
      </c>
      <c r="E48" s="1894">
        <v>1067310</v>
      </c>
      <c r="F48" s="1460"/>
      <c r="G48" s="1462"/>
      <c r="H48" s="1459">
        <v>1067310</v>
      </c>
      <c r="I48" s="1468">
        <v>-1067310</v>
      </c>
      <c r="J48" s="1541">
        <v>0</v>
      </c>
      <c r="K48" s="1541">
        <v>2395990</v>
      </c>
      <c r="L48" s="1541">
        <v>2395990</v>
      </c>
      <c r="M48" s="1893">
        <v>0</v>
      </c>
    </row>
    <row r="49" spans="1:13" x14ac:dyDescent="0.3">
      <c r="A49" s="1879" t="s">
        <v>3568</v>
      </c>
      <c r="B49" s="1460"/>
      <c r="C49" s="1459">
        <v>31000</v>
      </c>
      <c r="D49" s="1459">
        <v>31000</v>
      </c>
      <c r="E49" s="1460"/>
      <c r="J49" s="1541">
        <v>0</v>
      </c>
      <c r="K49" s="1541">
        <v>31000</v>
      </c>
      <c r="L49" s="1541">
        <v>31000</v>
      </c>
      <c r="M49" s="1893">
        <v>0</v>
      </c>
    </row>
    <row r="50" spans="1:13" x14ac:dyDescent="0.3">
      <c r="A50" s="1879" t="s">
        <v>3573</v>
      </c>
      <c r="B50" s="1460"/>
      <c r="C50" s="1459">
        <v>18349</v>
      </c>
      <c r="D50" s="1459">
        <v>18349</v>
      </c>
      <c r="E50" s="1460"/>
      <c r="J50" s="1541">
        <v>0</v>
      </c>
      <c r="K50" s="1541">
        <v>18349</v>
      </c>
      <c r="L50" s="1541">
        <v>18349</v>
      </c>
      <c r="M50" s="1893">
        <v>0</v>
      </c>
    </row>
    <row r="51" spans="1:13" x14ac:dyDescent="0.3">
      <c r="A51" s="1855" t="s">
        <v>3575</v>
      </c>
      <c r="B51" s="1460"/>
      <c r="C51" s="1459">
        <v>74250</v>
      </c>
      <c r="D51" s="1459">
        <v>74250</v>
      </c>
      <c r="E51" s="1460"/>
      <c r="J51" s="1541">
        <v>0</v>
      </c>
      <c r="K51" s="1541">
        <v>74250</v>
      </c>
      <c r="L51" s="1541">
        <v>74250</v>
      </c>
      <c r="M51" s="1893">
        <v>0</v>
      </c>
    </row>
    <row r="52" spans="1:13" x14ac:dyDescent="0.3">
      <c r="A52" s="1878" t="s">
        <v>3576</v>
      </c>
      <c r="B52" s="1460"/>
      <c r="C52" s="1459">
        <v>20000</v>
      </c>
      <c r="D52" s="1459">
        <v>20000</v>
      </c>
      <c r="E52" s="1460"/>
      <c r="J52" s="1541">
        <v>0</v>
      </c>
      <c r="K52" s="1541">
        <v>20000</v>
      </c>
      <c r="L52" s="1541">
        <v>20000</v>
      </c>
      <c r="M52" s="1893">
        <v>0</v>
      </c>
    </row>
    <row r="53" spans="1:13" x14ac:dyDescent="0.3">
      <c r="A53" s="1878" t="s">
        <v>3577</v>
      </c>
      <c r="B53" s="1460"/>
      <c r="C53" s="1459">
        <v>45430</v>
      </c>
      <c r="D53" s="1459">
        <v>45430</v>
      </c>
      <c r="E53" s="1460"/>
      <c r="J53" s="1541">
        <v>0</v>
      </c>
      <c r="K53" s="1541">
        <v>45430</v>
      </c>
      <c r="L53" s="1541">
        <v>45430</v>
      </c>
      <c r="M53" s="1893">
        <v>0</v>
      </c>
    </row>
    <row r="54" spans="1:13" x14ac:dyDescent="0.3">
      <c r="A54" s="1878" t="s">
        <v>3581</v>
      </c>
      <c r="B54" s="1460"/>
      <c r="C54" s="1459">
        <v>257635</v>
      </c>
      <c r="D54" s="1459">
        <v>257635</v>
      </c>
      <c r="E54" s="1460"/>
      <c r="J54" s="1541">
        <v>0</v>
      </c>
      <c r="K54" s="1541">
        <v>257635</v>
      </c>
      <c r="L54" s="1541">
        <v>257635</v>
      </c>
      <c r="M54" s="1893">
        <v>0</v>
      </c>
    </row>
    <row r="55" spans="1:13" x14ac:dyDescent="0.3">
      <c r="A55" s="1878" t="s">
        <v>3583</v>
      </c>
      <c r="B55" s="1460"/>
      <c r="C55" s="1459">
        <v>52156</v>
      </c>
      <c r="D55" s="1459">
        <v>52156</v>
      </c>
      <c r="E55" s="1460"/>
      <c r="J55" s="1541">
        <v>0</v>
      </c>
      <c r="K55" s="1541">
        <v>52156</v>
      </c>
      <c r="L55" s="1541">
        <v>52156</v>
      </c>
      <c r="M55" s="1893">
        <v>0</v>
      </c>
    </row>
    <row r="56" spans="1:13" x14ac:dyDescent="0.3">
      <c r="A56" s="1878" t="s">
        <v>3589</v>
      </c>
      <c r="B56" s="1460"/>
      <c r="C56" s="1459">
        <v>59400</v>
      </c>
      <c r="D56" s="1459">
        <v>59400</v>
      </c>
      <c r="E56" s="1460"/>
      <c r="J56" s="1541">
        <v>0</v>
      </c>
      <c r="K56" s="1541">
        <v>59400</v>
      </c>
      <c r="L56" s="1541">
        <v>59400</v>
      </c>
      <c r="M56" s="1893">
        <v>0</v>
      </c>
    </row>
    <row r="57" spans="1:13" x14ac:dyDescent="0.3">
      <c r="A57" s="1878" t="s">
        <v>3592</v>
      </c>
      <c r="B57" s="1460"/>
      <c r="C57" s="1459">
        <v>483800</v>
      </c>
      <c r="D57" s="1459">
        <v>483800</v>
      </c>
      <c r="E57" s="1460"/>
      <c r="J57" s="1541">
        <v>0</v>
      </c>
      <c r="K57" s="1541">
        <v>483800</v>
      </c>
      <c r="L57" s="1541">
        <v>483800</v>
      </c>
      <c r="M57" s="1893">
        <v>0</v>
      </c>
    </row>
    <row r="58" spans="1:13" x14ac:dyDescent="0.3">
      <c r="A58" s="1878" t="s">
        <v>3593</v>
      </c>
      <c r="B58" s="1460"/>
      <c r="C58" s="1459">
        <v>21000</v>
      </c>
      <c r="D58" s="1459">
        <v>21000</v>
      </c>
      <c r="E58" s="1460"/>
      <c r="J58" s="1541">
        <v>0</v>
      </c>
      <c r="K58" s="1541">
        <v>21000</v>
      </c>
      <c r="L58" s="1541">
        <v>21000</v>
      </c>
      <c r="M58" s="1893">
        <v>0</v>
      </c>
    </row>
    <row r="59" spans="1:13" x14ac:dyDescent="0.3">
      <c r="A59" s="1855" t="s">
        <v>3595</v>
      </c>
      <c r="B59" s="1460"/>
      <c r="C59" s="1459">
        <v>7300</v>
      </c>
      <c r="D59" s="1459">
        <v>7300</v>
      </c>
      <c r="E59" s="1460"/>
      <c r="J59" s="1541">
        <v>0</v>
      </c>
      <c r="K59" s="1541">
        <v>7300</v>
      </c>
      <c r="L59" s="1541">
        <v>7300</v>
      </c>
      <c r="M59" s="1893">
        <v>0</v>
      </c>
    </row>
    <row r="60" spans="1:13" x14ac:dyDescent="0.3">
      <c r="A60" s="1878" t="s">
        <v>3596</v>
      </c>
      <c r="B60" s="1460"/>
      <c r="C60" s="1459">
        <v>17700</v>
      </c>
      <c r="D60" s="1459">
        <v>17700</v>
      </c>
      <c r="E60" s="1460"/>
      <c r="J60" s="1541">
        <v>0</v>
      </c>
      <c r="K60" s="1541">
        <v>17700</v>
      </c>
      <c r="L60" s="1541">
        <v>17700</v>
      </c>
      <c r="M60" s="1893">
        <v>0</v>
      </c>
    </row>
    <row r="61" spans="1:13" x14ac:dyDescent="0.3">
      <c r="A61" s="1879" t="s">
        <v>3597</v>
      </c>
      <c r="B61" s="1460"/>
      <c r="C61" s="1459">
        <v>19470</v>
      </c>
      <c r="D61" s="1459">
        <v>19470</v>
      </c>
      <c r="E61" s="1460"/>
      <c r="J61" s="1541">
        <v>0</v>
      </c>
      <c r="K61" s="1541">
        <v>19470</v>
      </c>
      <c r="L61" s="1541">
        <v>19470</v>
      </c>
      <c r="M61" s="1893">
        <v>0</v>
      </c>
    </row>
    <row r="62" spans="1:13" x14ac:dyDescent="0.3">
      <c r="A62" s="1879" t="s">
        <v>3599</v>
      </c>
      <c r="B62" s="1460"/>
      <c r="C62" s="1459">
        <v>13500</v>
      </c>
      <c r="D62" s="1459">
        <v>13500</v>
      </c>
      <c r="E62" s="1460"/>
      <c r="J62" s="1541">
        <v>0</v>
      </c>
      <c r="K62" s="1541">
        <v>13500</v>
      </c>
      <c r="L62" s="1541">
        <v>13500</v>
      </c>
      <c r="M62" s="1893">
        <v>0</v>
      </c>
    </row>
    <row r="63" spans="1:13" x14ac:dyDescent="0.3">
      <c r="A63" s="1878" t="s">
        <v>3600</v>
      </c>
      <c r="B63" s="1460"/>
      <c r="C63" s="1459">
        <v>731600</v>
      </c>
      <c r="D63" s="1459">
        <v>731600</v>
      </c>
      <c r="E63" s="1460"/>
      <c r="J63" s="1541">
        <v>0</v>
      </c>
      <c r="K63" s="1541">
        <v>731600</v>
      </c>
      <c r="L63" s="1541">
        <v>731600</v>
      </c>
      <c r="M63" s="1893">
        <v>0</v>
      </c>
    </row>
    <row r="64" spans="1:13" x14ac:dyDescent="0.3">
      <c r="A64" s="1879" t="s">
        <v>3601</v>
      </c>
      <c r="B64" s="1460"/>
      <c r="C64" s="1459">
        <v>2313185</v>
      </c>
      <c r="D64" s="1459">
        <v>2313185</v>
      </c>
      <c r="E64" s="1460"/>
      <c r="J64" s="1541">
        <v>0</v>
      </c>
      <c r="K64" s="1541">
        <v>2313185</v>
      </c>
      <c r="L64" s="1541">
        <v>2313185</v>
      </c>
      <c r="M64" s="1893">
        <v>0</v>
      </c>
    </row>
    <row r="65" spans="1:13" x14ac:dyDescent="0.3">
      <c r="A65" s="1879" t="s">
        <v>3603</v>
      </c>
      <c r="B65" s="1460"/>
      <c r="C65" s="1459">
        <v>4900</v>
      </c>
      <c r="D65" s="1459">
        <v>4900</v>
      </c>
      <c r="E65" s="1460"/>
      <c r="J65" s="1541">
        <v>0</v>
      </c>
      <c r="K65" s="1541">
        <v>4900</v>
      </c>
      <c r="L65" s="1541">
        <v>4900</v>
      </c>
      <c r="M65" s="1893">
        <v>0</v>
      </c>
    </row>
    <row r="66" spans="1:13" x14ac:dyDescent="0.3">
      <c r="A66" s="1878" t="s">
        <v>3604</v>
      </c>
      <c r="B66" s="1460"/>
      <c r="C66" s="1459">
        <v>17700</v>
      </c>
      <c r="D66" s="1459">
        <v>17700</v>
      </c>
      <c r="E66" s="1460"/>
      <c r="J66" s="1541">
        <v>0</v>
      </c>
      <c r="K66" s="1541">
        <v>17700</v>
      </c>
      <c r="L66" s="1541">
        <v>17700</v>
      </c>
      <c r="M66" s="1893">
        <v>0</v>
      </c>
    </row>
    <row r="67" spans="1:13" x14ac:dyDescent="0.3">
      <c r="A67" s="1878" t="s">
        <v>3605</v>
      </c>
      <c r="B67" s="1460"/>
      <c r="C67" s="1459">
        <v>14225</v>
      </c>
      <c r="D67" s="1459">
        <v>14225</v>
      </c>
      <c r="E67" s="1460"/>
      <c r="J67" s="1541">
        <v>0</v>
      </c>
      <c r="K67" s="1541">
        <v>14225</v>
      </c>
      <c r="L67" s="1541">
        <v>14225</v>
      </c>
      <c r="M67" s="1893">
        <v>0</v>
      </c>
    </row>
    <row r="68" spans="1:13" x14ac:dyDescent="0.3">
      <c r="A68" s="1878" t="s">
        <v>3607</v>
      </c>
      <c r="B68" s="1460"/>
      <c r="C68" s="1459">
        <v>135000</v>
      </c>
      <c r="D68" s="1459">
        <v>135000</v>
      </c>
      <c r="E68" s="1460"/>
      <c r="J68" s="1541">
        <v>0</v>
      </c>
      <c r="K68" s="1541">
        <v>135000</v>
      </c>
      <c r="L68" s="1541">
        <v>135000</v>
      </c>
      <c r="M68" s="1893">
        <v>0</v>
      </c>
    </row>
    <row r="69" spans="1:13" x14ac:dyDescent="0.3">
      <c r="A69" s="1879" t="s">
        <v>3609</v>
      </c>
      <c r="B69" s="1460"/>
      <c r="C69" s="1459">
        <v>35881.86</v>
      </c>
      <c r="D69" s="1459">
        <v>35881.86</v>
      </c>
      <c r="E69" s="1460"/>
      <c r="J69" s="1541">
        <v>0</v>
      </c>
      <c r="K69" s="1541">
        <v>35881.86</v>
      </c>
      <c r="L69" s="1541">
        <v>35881.86</v>
      </c>
      <c r="M69" s="1893">
        <v>0</v>
      </c>
    </row>
    <row r="70" spans="1:13" x14ac:dyDescent="0.3">
      <c r="A70" s="1878" t="s">
        <v>3675</v>
      </c>
      <c r="B70" s="1460"/>
      <c r="C70" s="1459">
        <v>926595</v>
      </c>
      <c r="D70" s="1459">
        <v>503565</v>
      </c>
      <c r="E70" s="1894">
        <v>423030</v>
      </c>
      <c r="F70" s="1460"/>
      <c r="G70" s="1462"/>
      <c r="H70" s="1459">
        <v>423030</v>
      </c>
      <c r="I70" s="1468">
        <v>-423030</v>
      </c>
      <c r="J70" s="1541">
        <v>0</v>
      </c>
      <c r="K70" s="1541">
        <v>926595</v>
      </c>
      <c r="L70" s="1541">
        <v>926595</v>
      </c>
      <c r="M70" s="1893">
        <v>0</v>
      </c>
    </row>
    <row r="71" spans="1:13" x14ac:dyDescent="0.3">
      <c r="A71" s="1878" t="s">
        <v>3676</v>
      </c>
      <c r="B71" s="1460"/>
      <c r="C71" s="1459">
        <v>19016</v>
      </c>
      <c r="D71" s="1462"/>
      <c r="E71" s="1894">
        <v>19016</v>
      </c>
      <c r="F71" s="1460"/>
      <c r="G71" s="1462"/>
      <c r="H71" s="1459">
        <v>19016</v>
      </c>
      <c r="I71" s="1468">
        <v>-19016</v>
      </c>
      <c r="J71" s="1541">
        <v>0</v>
      </c>
      <c r="K71" s="1541">
        <v>19016</v>
      </c>
      <c r="L71" s="1541">
        <v>19016</v>
      </c>
      <c r="M71" s="1893">
        <v>0</v>
      </c>
    </row>
    <row r="72" spans="1:13" ht="22.8" x14ac:dyDescent="0.3">
      <c r="A72" s="1881" t="s">
        <v>3622</v>
      </c>
      <c r="B72" s="1460"/>
      <c r="C72" s="1459">
        <v>57000</v>
      </c>
      <c r="D72" s="1459">
        <v>57000</v>
      </c>
      <c r="E72" s="1460"/>
      <c r="J72" s="1541">
        <v>0</v>
      </c>
      <c r="K72" s="1541">
        <v>57000</v>
      </c>
      <c r="L72" s="1541">
        <v>57000</v>
      </c>
      <c r="M72" s="1893">
        <v>0</v>
      </c>
    </row>
    <row r="73" spans="1:13" x14ac:dyDescent="0.3">
      <c r="A73" s="1879" t="s">
        <v>3623</v>
      </c>
      <c r="B73" s="1460"/>
      <c r="C73" s="1459">
        <v>16284</v>
      </c>
      <c r="D73" s="1459">
        <v>16284</v>
      </c>
      <c r="E73" s="1460"/>
      <c r="J73" s="1541">
        <v>0</v>
      </c>
      <c r="K73" s="1541">
        <v>16284</v>
      </c>
      <c r="L73" s="1541">
        <v>16284</v>
      </c>
      <c r="M73" s="1893">
        <v>0</v>
      </c>
    </row>
    <row r="74" spans="1:13" x14ac:dyDescent="0.3">
      <c r="A74" s="1855" t="s">
        <v>3631</v>
      </c>
      <c r="B74" s="1460"/>
      <c r="C74" s="1459">
        <v>30845</v>
      </c>
      <c r="D74" s="1459">
        <v>30845</v>
      </c>
      <c r="E74" s="1460"/>
      <c r="J74" s="1541">
        <v>0</v>
      </c>
      <c r="K74" s="1541">
        <v>30845</v>
      </c>
      <c r="L74" s="1541">
        <v>30845</v>
      </c>
      <c r="M74" s="1893">
        <v>0</v>
      </c>
    </row>
    <row r="75" spans="1:13" x14ac:dyDescent="0.3">
      <c r="A75" s="1878" t="s">
        <v>3635</v>
      </c>
      <c r="B75" s="1460"/>
      <c r="C75" s="1459">
        <v>15872</v>
      </c>
      <c r="D75" s="1459">
        <v>15872</v>
      </c>
      <c r="E75" s="1460"/>
      <c r="J75" s="1541">
        <v>0</v>
      </c>
      <c r="K75" s="1541">
        <v>15872</v>
      </c>
      <c r="L75" s="1541">
        <v>15872</v>
      </c>
      <c r="M75" s="1893">
        <v>0</v>
      </c>
    </row>
    <row r="76" spans="1:13" x14ac:dyDescent="0.3">
      <c r="A76" s="1855" t="s">
        <v>3636</v>
      </c>
      <c r="B76" s="1460"/>
      <c r="C76" s="1459">
        <v>13550</v>
      </c>
      <c r="D76" s="1459">
        <v>13550</v>
      </c>
      <c r="E76" s="1460"/>
      <c r="J76" s="1541">
        <v>0</v>
      </c>
      <c r="K76" s="1541">
        <v>13550</v>
      </c>
      <c r="L76" s="1541">
        <v>13550</v>
      </c>
      <c r="M76" s="1893">
        <v>0</v>
      </c>
    </row>
    <row r="77" spans="1:13" x14ac:dyDescent="0.3">
      <c r="A77" s="1855" t="s">
        <v>3642</v>
      </c>
      <c r="B77" s="1460"/>
      <c r="C77" s="1459">
        <v>6000000</v>
      </c>
      <c r="D77" s="1459">
        <v>6000000</v>
      </c>
      <c r="E77" s="1460"/>
      <c r="J77" s="1541">
        <v>0</v>
      </c>
      <c r="K77" s="1541">
        <v>6000000</v>
      </c>
      <c r="L77" s="1541">
        <v>6000000</v>
      </c>
      <c r="M77" s="1893">
        <v>0</v>
      </c>
    </row>
    <row r="78" spans="1:13" x14ac:dyDescent="0.3">
      <c r="A78" s="1878" t="s">
        <v>3646</v>
      </c>
      <c r="B78" s="1460"/>
      <c r="C78" s="1459">
        <v>44840</v>
      </c>
      <c r="D78" s="1459">
        <v>44840</v>
      </c>
      <c r="E78" s="1460"/>
      <c r="J78" s="1541">
        <v>0</v>
      </c>
      <c r="K78" s="1541">
        <v>44840</v>
      </c>
      <c r="L78" s="1541">
        <v>44840</v>
      </c>
      <c r="M78" s="1893">
        <v>0</v>
      </c>
    </row>
    <row r="79" spans="1:13" x14ac:dyDescent="0.3">
      <c r="A79" s="1879" t="s">
        <v>3647</v>
      </c>
      <c r="B79" s="1460"/>
      <c r="C79" s="1459">
        <v>21770</v>
      </c>
      <c r="D79" s="1459">
        <v>21770</v>
      </c>
      <c r="E79" s="1460"/>
      <c r="J79" s="1541">
        <v>0</v>
      </c>
      <c r="K79" s="1541">
        <v>21770</v>
      </c>
      <c r="L79" s="1541">
        <v>21770</v>
      </c>
      <c r="M79" s="1893">
        <v>0</v>
      </c>
    </row>
    <row r="80" spans="1:13" x14ac:dyDescent="0.3">
      <c r="A80" s="1855" t="s">
        <v>3681</v>
      </c>
      <c r="B80" s="1460"/>
      <c r="C80" s="1459">
        <v>40356</v>
      </c>
      <c r="D80" s="1459">
        <v>19470</v>
      </c>
      <c r="E80" s="1894">
        <v>20886</v>
      </c>
      <c r="F80" s="1460"/>
      <c r="G80" s="1462"/>
      <c r="H80" s="1459">
        <v>20886</v>
      </c>
      <c r="I80" s="1468">
        <v>-20886</v>
      </c>
      <c r="J80" s="1541">
        <v>0</v>
      </c>
      <c r="K80" s="1541">
        <v>40356</v>
      </c>
      <c r="L80" s="1541">
        <v>40356</v>
      </c>
      <c r="M80" s="1893">
        <v>0</v>
      </c>
    </row>
    <row r="81" spans="1:13" x14ac:dyDescent="0.3">
      <c r="A81" s="1878" t="s">
        <v>3654</v>
      </c>
      <c r="B81" s="1460"/>
      <c r="C81" s="1459">
        <v>26867</v>
      </c>
      <c r="D81" s="1459">
        <v>26867</v>
      </c>
      <c r="E81" s="1460"/>
      <c r="J81" s="1541">
        <v>0</v>
      </c>
      <c r="K81" s="1541">
        <v>26867</v>
      </c>
      <c r="L81" s="1541">
        <v>26867</v>
      </c>
      <c r="M81" s="1893">
        <v>0</v>
      </c>
    </row>
    <row r="82" spans="1:13" x14ac:dyDescent="0.3">
      <c r="A82" s="1878" t="s">
        <v>3655</v>
      </c>
      <c r="B82" s="1460"/>
      <c r="C82" s="1459">
        <v>23000</v>
      </c>
      <c r="D82" s="1459">
        <v>23000</v>
      </c>
      <c r="E82" s="1460"/>
      <c r="J82" s="1541">
        <v>0</v>
      </c>
      <c r="K82" s="1541">
        <v>23000</v>
      </c>
      <c r="L82" s="1541">
        <v>23000</v>
      </c>
      <c r="M82" s="1893">
        <v>0</v>
      </c>
    </row>
    <row r="83" spans="1:13" x14ac:dyDescent="0.3">
      <c r="A83" s="1878" t="s">
        <v>3656</v>
      </c>
      <c r="B83" s="1460"/>
      <c r="C83" s="1459">
        <v>49500</v>
      </c>
      <c r="D83" s="1459">
        <v>49500</v>
      </c>
      <c r="E83" s="1460"/>
      <c r="J83" s="1541">
        <v>0</v>
      </c>
      <c r="K83" s="1541">
        <v>49500</v>
      </c>
      <c r="L83" s="1541">
        <v>49500</v>
      </c>
      <c r="M83" s="1893">
        <v>0</v>
      </c>
    </row>
    <row r="84" spans="1:13" x14ac:dyDescent="0.3">
      <c r="A84" s="1852" t="s">
        <v>3664</v>
      </c>
      <c r="B84" s="1460"/>
      <c r="C84" s="1459">
        <v>141000</v>
      </c>
      <c r="D84" s="1459">
        <v>141000</v>
      </c>
      <c r="E84" s="1460"/>
      <c r="J84" s="1541">
        <v>0</v>
      </c>
      <c r="K84" s="1541">
        <v>141000</v>
      </c>
      <c r="L84" s="1541">
        <v>141000</v>
      </c>
      <c r="M84" s="1893">
        <v>0</v>
      </c>
    </row>
    <row r="85" spans="1:13" x14ac:dyDescent="0.3">
      <c r="A85" s="1878" t="s">
        <v>3666</v>
      </c>
      <c r="B85" s="1460"/>
      <c r="C85" s="1459">
        <v>32550</v>
      </c>
      <c r="D85" s="1459">
        <v>32550</v>
      </c>
      <c r="E85" s="1460"/>
      <c r="J85" s="1541">
        <v>0</v>
      </c>
      <c r="K85" s="1541">
        <v>32550</v>
      </c>
      <c r="L85" s="1541">
        <v>32550</v>
      </c>
      <c r="M85" s="1893">
        <v>0</v>
      </c>
    </row>
    <row r="86" spans="1:13" x14ac:dyDescent="0.3">
      <c r="A86" s="1855" t="s">
        <v>2468</v>
      </c>
      <c r="B86" s="1462"/>
      <c r="C86" s="1456">
        <v>3821</v>
      </c>
      <c r="D86" s="1456">
        <v>3821</v>
      </c>
      <c r="E86" s="1462"/>
      <c r="J86" s="1541">
        <v>0</v>
      </c>
      <c r="K86" s="1541">
        <v>3821</v>
      </c>
      <c r="L86" s="1541">
        <v>3821</v>
      </c>
      <c r="M86" s="1893">
        <v>0</v>
      </c>
    </row>
    <row r="87" spans="1:13" x14ac:dyDescent="0.3">
      <c r="A87" s="1855" t="s">
        <v>2469</v>
      </c>
      <c r="B87" s="1462"/>
      <c r="C87" s="1456">
        <v>14484</v>
      </c>
      <c r="D87" s="1456">
        <v>14484</v>
      </c>
      <c r="E87" s="1462"/>
      <c r="J87" s="1541">
        <v>0</v>
      </c>
      <c r="K87" s="1541">
        <v>14484</v>
      </c>
      <c r="L87" s="1541">
        <v>14484</v>
      </c>
      <c r="M87" s="1893">
        <v>0</v>
      </c>
    </row>
    <row r="88" spans="1:13" x14ac:dyDescent="0.3">
      <c r="A88" s="1855" t="s">
        <v>2472</v>
      </c>
      <c r="B88" s="1462"/>
      <c r="C88" s="1456">
        <v>284865</v>
      </c>
      <c r="D88" s="1456">
        <v>284865</v>
      </c>
      <c r="E88" s="1462"/>
      <c r="J88" s="1541">
        <v>0</v>
      </c>
      <c r="K88" s="1541">
        <v>284865</v>
      </c>
      <c r="L88" s="1541">
        <v>284865</v>
      </c>
      <c r="M88" s="1893">
        <v>0</v>
      </c>
    </row>
    <row r="89" spans="1:13" x14ac:dyDescent="0.3">
      <c r="A89" s="1855" t="s">
        <v>2477</v>
      </c>
      <c r="B89" s="1462"/>
      <c r="C89" s="1456">
        <v>7000</v>
      </c>
      <c r="D89" s="1460"/>
      <c r="E89" s="1896">
        <v>7000</v>
      </c>
      <c r="F89" s="1462"/>
      <c r="G89" s="1460"/>
      <c r="H89" s="1456">
        <v>7000</v>
      </c>
      <c r="I89" s="1471">
        <v>-7000</v>
      </c>
      <c r="J89" s="1541">
        <v>0</v>
      </c>
      <c r="K89" s="1541">
        <v>7000</v>
      </c>
      <c r="L89" s="1541">
        <v>7000</v>
      </c>
      <c r="M89" s="1893">
        <v>0</v>
      </c>
    </row>
    <row r="90" spans="1:13" x14ac:dyDescent="0.3">
      <c r="A90" s="1855" t="s">
        <v>2407</v>
      </c>
      <c r="B90" s="1462"/>
      <c r="C90" s="1456">
        <v>493501</v>
      </c>
      <c r="D90" s="1456">
        <v>493501</v>
      </c>
      <c r="E90" s="1462"/>
      <c r="J90" s="1541">
        <v>0</v>
      </c>
      <c r="K90" s="1541">
        <v>493501</v>
      </c>
      <c r="L90" s="1541">
        <v>493501</v>
      </c>
      <c r="M90" s="1893">
        <v>0</v>
      </c>
    </row>
    <row r="91" spans="1:13" x14ac:dyDescent="0.3">
      <c r="A91" s="1855" t="s">
        <v>3638</v>
      </c>
      <c r="B91" s="1462"/>
      <c r="C91" s="1456"/>
      <c r="D91" s="1456"/>
      <c r="E91" s="1462"/>
      <c r="J91" s="1541"/>
      <c r="K91" s="1541"/>
      <c r="L91" s="1541"/>
      <c r="M91" s="1893"/>
    </row>
    <row r="92" spans="1:13" x14ac:dyDescent="0.3">
      <c r="A92" s="1855" t="s">
        <v>2476</v>
      </c>
      <c r="B92" s="1462"/>
      <c r="C92" s="1456">
        <v>15197</v>
      </c>
      <c r="D92" s="1456">
        <v>15197</v>
      </c>
      <c r="E92" s="1462"/>
      <c r="J92" s="1541">
        <v>0</v>
      </c>
      <c r="K92" s="1541">
        <v>15197</v>
      </c>
      <c r="L92" s="1541">
        <v>15197</v>
      </c>
      <c r="M92" s="1893">
        <v>0</v>
      </c>
    </row>
    <row r="93" spans="1:13" x14ac:dyDescent="0.3">
      <c r="A93" s="1855"/>
      <c r="B93" s="1462"/>
      <c r="C93" s="1456"/>
      <c r="D93" s="1456"/>
      <c r="E93" s="1462"/>
      <c r="J93" s="1541"/>
      <c r="K93" s="1541"/>
      <c r="L93" s="1541"/>
      <c r="M93" s="1893">
        <f>SUM(M3:M92)</f>
        <v>-11990775.770000001</v>
      </c>
    </row>
    <row r="94" spans="1:13" x14ac:dyDescent="0.3">
      <c r="A94" s="1855"/>
      <c r="B94" s="1462"/>
      <c r="C94" s="1456"/>
      <c r="D94" s="1456"/>
      <c r="E94" s="1462"/>
      <c r="J94" s="1541"/>
      <c r="K94" s="1541"/>
      <c r="L94" s="1541"/>
      <c r="M94" s="1893"/>
    </row>
    <row r="95" spans="1:13" x14ac:dyDescent="0.3">
      <c r="A95" s="1855"/>
      <c r="B95" s="1462"/>
      <c r="C95" s="1456"/>
      <c r="D95" s="1456"/>
      <c r="E95" s="1462"/>
      <c r="J95" s="1541"/>
      <c r="K95" s="1541"/>
      <c r="L95" s="1541"/>
      <c r="M95" s="1893"/>
    </row>
    <row r="96" spans="1:13" x14ac:dyDescent="0.3">
      <c r="A96" s="1878" t="s">
        <v>3538</v>
      </c>
      <c r="B96" s="1460"/>
      <c r="C96" s="1459">
        <v>1000</v>
      </c>
      <c r="D96" s="1462"/>
      <c r="E96" s="1894">
        <v>1000</v>
      </c>
      <c r="J96" s="1541">
        <v>0</v>
      </c>
      <c r="K96" s="1541">
        <v>1000</v>
      </c>
      <c r="L96" s="1541">
        <v>0</v>
      </c>
      <c r="M96" s="1893">
        <v>1000</v>
      </c>
    </row>
    <row r="97" spans="1:14" x14ac:dyDescent="0.3">
      <c r="A97" s="1855" t="s">
        <v>3626</v>
      </c>
      <c r="B97" s="1460"/>
      <c r="C97" s="1459">
        <v>2769149</v>
      </c>
      <c r="D97" s="1459">
        <v>2767802.5</v>
      </c>
      <c r="E97" s="1894">
        <v>1346.5</v>
      </c>
      <c r="J97" s="1541">
        <v>0</v>
      </c>
      <c r="K97" s="1541">
        <v>2769149</v>
      </c>
      <c r="L97" s="1541">
        <v>2767802.5</v>
      </c>
      <c r="M97" s="1893">
        <v>1346.5</v>
      </c>
    </row>
    <row r="98" spans="1:14" x14ac:dyDescent="0.3">
      <c r="A98" s="1855" t="s">
        <v>3661</v>
      </c>
      <c r="B98" s="1460"/>
      <c r="C98" s="1459">
        <v>6940</v>
      </c>
      <c r="D98" s="1459">
        <v>3690</v>
      </c>
      <c r="E98" s="1894">
        <v>3250</v>
      </c>
      <c r="J98" s="1541">
        <v>0</v>
      </c>
      <c r="K98" s="1541">
        <v>6940</v>
      </c>
      <c r="L98" s="1541">
        <v>3690</v>
      </c>
      <c r="M98" s="1893">
        <v>3250</v>
      </c>
    </row>
    <row r="99" spans="1:14" x14ac:dyDescent="0.3">
      <c r="A99" s="1878" t="s">
        <v>3643</v>
      </c>
      <c r="B99" s="1460"/>
      <c r="C99" s="1459">
        <v>27243.42</v>
      </c>
      <c r="D99" s="1459">
        <v>23359.26</v>
      </c>
      <c r="E99" s="1894">
        <v>3884.16</v>
      </c>
      <c r="J99" s="1541">
        <v>0</v>
      </c>
      <c r="K99" s="1541">
        <v>27243.42</v>
      </c>
      <c r="L99" s="1541">
        <v>23359.26</v>
      </c>
      <c r="M99" s="1893">
        <v>3884.16</v>
      </c>
      <c r="N99" t="s">
        <v>3741</v>
      </c>
    </row>
    <row r="100" spans="1:14" x14ac:dyDescent="0.3">
      <c r="A100" s="1879" t="s">
        <v>3571</v>
      </c>
      <c r="B100" s="1460"/>
      <c r="C100" s="1459">
        <v>24190</v>
      </c>
      <c r="D100" s="1459">
        <v>17700</v>
      </c>
      <c r="E100" s="1894">
        <v>6490</v>
      </c>
      <c r="J100" s="1541">
        <v>0</v>
      </c>
      <c r="K100" s="1541">
        <v>24190</v>
      </c>
      <c r="L100" s="1541">
        <v>17700</v>
      </c>
      <c r="M100" s="1893">
        <v>6490</v>
      </c>
    </row>
    <row r="101" spans="1:14" x14ac:dyDescent="0.3">
      <c r="A101" s="1855" t="s">
        <v>3640</v>
      </c>
      <c r="B101" s="1460"/>
      <c r="C101" s="1459">
        <v>684000</v>
      </c>
      <c r="D101" s="1459">
        <v>675090.65</v>
      </c>
      <c r="E101" s="1894">
        <v>8909.35</v>
      </c>
      <c r="J101" s="1541">
        <v>0</v>
      </c>
      <c r="K101" s="1541">
        <v>684000</v>
      </c>
      <c r="L101" s="1541">
        <v>675090.65</v>
      </c>
      <c r="M101" s="1893">
        <v>8909.35</v>
      </c>
    </row>
    <row r="102" spans="1:14" x14ac:dyDescent="0.3">
      <c r="A102" s="1852" t="s">
        <v>3585</v>
      </c>
      <c r="B102" s="1460"/>
      <c r="C102" s="1459">
        <v>10000</v>
      </c>
      <c r="D102" s="1462"/>
      <c r="E102" s="1894">
        <v>10000</v>
      </c>
      <c r="J102" s="1541">
        <v>0</v>
      </c>
      <c r="K102" s="1541">
        <v>10000</v>
      </c>
      <c r="L102" s="1541">
        <v>0</v>
      </c>
      <c r="M102" s="1893">
        <v>10000</v>
      </c>
    </row>
    <row r="103" spans="1:14" ht="22.8" x14ac:dyDescent="0.3">
      <c r="A103" s="1880" t="s">
        <v>3552</v>
      </c>
      <c r="B103" s="1460"/>
      <c r="C103" s="1459">
        <v>287385</v>
      </c>
      <c r="D103" s="1459">
        <v>273036</v>
      </c>
      <c r="E103" s="1894">
        <v>14349</v>
      </c>
      <c r="F103" s="1460"/>
      <c r="G103" s="1462"/>
      <c r="H103" s="1459"/>
      <c r="I103" s="1468"/>
      <c r="J103" s="1541">
        <v>0</v>
      </c>
      <c r="K103" s="1541">
        <v>287385</v>
      </c>
      <c r="L103" s="1541">
        <v>273036</v>
      </c>
      <c r="M103" s="1893">
        <v>14349</v>
      </c>
    </row>
    <row r="104" spans="1:14" x14ac:dyDescent="0.3">
      <c r="A104" s="1878" t="s">
        <v>3620</v>
      </c>
      <c r="B104" s="1460"/>
      <c r="C104" s="1459">
        <v>14349</v>
      </c>
      <c r="D104" s="1462"/>
      <c r="E104" s="1894">
        <v>14349</v>
      </c>
      <c r="J104" s="1541">
        <v>0</v>
      </c>
      <c r="K104" s="1541">
        <v>14349</v>
      </c>
      <c r="L104" s="1541">
        <v>0</v>
      </c>
      <c r="M104" s="1893">
        <v>14349</v>
      </c>
    </row>
    <row r="105" spans="1:14" x14ac:dyDescent="0.3">
      <c r="A105" s="1878" t="s">
        <v>3716</v>
      </c>
      <c r="B105" s="1460"/>
      <c r="C105" s="1459">
        <v>14840.4</v>
      </c>
      <c r="D105" s="1462"/>
      <c r="E105" s="1894">
        <v>14840.4</v>
      </c>
      <c r="J105" s="1541">
        <v>0</v>
      </c>
      <c r="K105" s="1541">
        <v>14840.4</v>
      </c>
      <c r="L105" s="1541">
        <v>0</v>
      </c>
      <c r="M105" s="1893">
        <v>14840.4</v>
      </c>
    </row>
    <row r="106" spans="1:14" x14ac:dyDescent="0.3">
      <c r="A106" s="1878" t="s">
        <v>3550</v>
      </c>
      <c r="B106" s="1460"/>
      <c r="C106" s="1459">
        <v>111929</v>
      </c>
      <c r="D106" s="1459">
        <v>96932</v>
      </c>
      <c r="E106" s="1894">
        <v>14997</v>
      </c>
      <c r="F106" s="1460"/>
      <c r="G106" s="1462"/>
      <c r="H106" s="1459"/>
      <c r="I106" s="1468"/>
      <c r="J106" s="1541">
        <v>0</v>
      </c>
      <c r="K106" s="1541">
        <v>111929</v>
      </c>
      <c r="L106" s="1541">
        <v>96932</v>
      </c>
      <c r="M106" s="1893">
        <v>14997</v>
      </c>
    </row>
    <row r="107" spans="1:14" x14ac:dyDescent="0.3">
      <c r="A107" s="1878" t="s">
        <v>3717</v>
      </c>
      <c r="B107" s="1460"/>
      <c r="C107" s="1459">
        <v>18000</v>
      </c>
      <c r="D107" s="1462"/>
      <c r="E107" s="1894">
        <v>18000</v>
      </c>
      <c r="J107" s="1541">
        <v>0</v>
      </c>
      <c r="K107" s="1541">
        <v>18000</v>
      </c>
      <c r="L107" s="1541">
        <v>0</v>
      </c>
      <c r="M107" s="1893">
        <v>18000</v>
      </c>
    </row>
    <row r="108" spans="1:14" x14ac:dyDescent="0.3">
      <c r="A108" s="1878" t="s">
        <v>3586</v>
      </c>
      <c r="B108" s="1460"/>
      <c r="C108" s="1459">
        <v>62650</v>
      </c>
      <c r="D108" s="1459">
        <v>44550</v>
      </c>
      <c r="E108" s="1894">
        <v>18100</v>
      </c>
      <c r="J108" s="1541">
        <v>0</v>
      </c>
      <c r="K108" s="1541">
        <v>62650</v>
      </c>
      <c r="L108" s="1541">
        <v>44550</v>
      </c>
      <c r="M108" s="1893">
        <v>18100</v>
      </c>
    </row>
    <row r="109" spans="1:14" x14ac:dyDescent="0.3">
      <c r="A109" s="1879" t="s">
        <v>3621</v>
      </c>
      <c r="B109" s="1460"/>
      <c r="C109" s="1459">
        <v>176165.16</v>
      </c>
      <c r="D109" s="1459">
        <v>156486.96</v>
      </c>
      <c r="E109" s="1894">
        <v>19678.2</v>
      </c>
      <c r="J109" s="1541">
        <v>0</v>
      </c>
      <c r="K109" s="1541">
        <v>176165.16</v>
      </c>
      <c r="L109" s="1541">
        <v>156486.96</v>
      </c>
      <c r="M109" s="1893">
        <v>19678.2</v>
      </c>
    </row>
    <row r="110" spans="1:14" x14ac:dyDescent="0.3">
      <c r="A110" s="1879" t="s">
        <v>3594</v>
      </c>
      <c r="B110" s="1460"/>
      <c r="C110" s="1459">
        <v>100300</v>
      </c>
      <c r="D110" s="1459">
        <v>76700</v>
      </c>
      <c r="E110" s="1894">
        <v>23600</v>
      </c>
      <c r="J110" s="1541">
        <v>0</v>
      </c>
      <c r="K110" s="1541">
        <v>100300</v>
      </c>
      <c r="L110" s="1541">
        <v>76700</v>
      </c>
      <c r="M110" s="1893">
        <v>23600</v>
      </c>
    </row>
    <row r="111" spans="1:14" x14ac:dyDescent="0.3">
      <c r="A111" s="1855" t="s">
        <v>3718</v>
      </c>
      <c r="B111" s="1460"/>
      <c r="C111" s="1459">
        <v>377600</v>
      </c>
      <c r="D111" s="1459">
        <v>354000</v>
      </c>
      <c r="E111" s="1894">
        <v>23600</v>
      </c>
      <c r="J111" s="1541">
        <v>0</v>
      </c>
      <c r="K111" s="1541">
        <v>377600</v>
      </c>
      <c r="L111" s="1541">
        <v>354000</v>
      </c>
      <c r="M111" s="1893">
        <v>23600</v>
      </c>
    </row>
    <row r="112" spans="1:14" x14ac:dyDescent="0.3">
      <c r="A112" s="1855" t="s">
        <v>3719</v>
      </c>
      <c r="B112" s="1894">
        <v>27000</v>
      </c>
      <c r="C112" s="1462"/>
      <c r="D112" s="1462"/>
      <c r="E112" s="1894">
        <v>27000</v>
      </c>
      <c r="J112" s="1541">
        <v>27000</v>
      </c>
      <c r="K112" s="1541">
        <v>0</v>
      </c>
      <c r="L112" s="1541">
        <v>0</v>
      </c>
      <c r="M112" s="1893">
        <v>27000</v>
      </c>
    </row>
    <row r="113" spans="1:13" x14ac:dyDescent="0.3">
      <c r="A113" s="1878" t="s">
        <v>3649</v>
      </c>
      <c r="B113" s="1460"/>
      <c r="C113" s="1459">
        <v>27671</v>
      </c>
      <c r="D113" s="1462"/>
      <c r="E113" s="1894">
        <v>27671</v>
      </c>
      <c r="J113" s="1541">
        <v>0</v>
      </c>
      <c r="K113" s="1541">
        <v>27671</v>
      </c>
      <c r="L113" s="1541">
        <v>0</v>
      </c>
      <c r="M113" s="1893">
        <v>27671</v>
      </c>
    </row>
    <row r="114" spans="1:13" x14ac:dyDescent="0.3">
      <c r="A114" s="1878" t="s">
        <v>3549</v>
      </c>
      <c r="B114" s="1460"/>
      <c r="C114" s="1459">
        <v>309958</v>
      </c>
      <c r="D114" s="1459">
        <v>277967</v>
      </c>
      <c r="E114" s="1894">
        <v>31991</v>
      </c>
      <c r="F114" s="1460"/>
      <c r="G114" s="1462"/>
      <c r="H114" s="1459"/>
      <c r="I114" s="1468"/>
      <c r="J114" s="1541">
        <v>0</v>
      </c>
      <c r="K114" s="1541">
        <v>309958</v>
      </c>
      <c r="L114" s="1541">
        <v>277967</v>
      </c>
      <c r="M114" s="1893">
        <v>31991</v>
      </c>
    </row>
    <row r="115" spans="1:13" x14ac:dyDescent="0.3">
      <c r="A115" s="1878" t="s">
        <v>3587</v>
      </c>
      <c r="B115" s="1460"/>
      <c r="C115" s="1459">
        <v>35200</v>
      </c>
      <c r="D115" s="1459">
        <v>2549</v>
      </c>
      <c r="E115" s="1894">
        <v>32651</v>
      </c>
      <c r="J115" s="1541">
        <v>0</v>
      </c>
      <c r="K115" s="1541">
        <v>35200</v>
      </c>
      <c r="L115" s="1541">
        <v>2549</v>
      </c>
      <c r="M115" s="1893">
        <v>32651</v>
      </c>
    </row>
    <row r="116" spans="1:13" x14ac:dyDescent="0.3">
      <c r="A116" s="1878" t="s">
        <v>3588</v>
      </c>
      <c r="B116" s="1460"/>
      <c r="C116" s="1459">
        <v>77054</v>
      </c>
      <c r="D116" s="1459">
        <v>40651</v>
      </c>
      <c r="E116" s="1894">
        <v>36403</v>
      </c>
      <c r="J116" s="1541">
        <v>0</v>
      </c>
      <c r="K116" s="1541">
        <v>77054</v>
      </c>
      <c r="L116" s="1541">
        <v>40651</v>
      </c>
      <c r="M116" s="1893">
        <v>36403</v>
      </c>
    </row>
    <row r="117" spans="1:13" x14ac:dyDescent="0.3">
      <c r="A117" s="1855" t="s">
        <v>3659</v>
      </c>
      <c r="B117" s="1460"/>
      <c r="C117" s="1459">
        <v>124724</v>
      </c>
      <c r="D117" s="1459">
        <v>82362</v>
      </c>
      <c r="E117" s="1894">
        <v>42362</v>
      </c>
      <c r="J117" s="1541">
        <v>0</v>
      </c>
      <c r="K117" s="1541">
        <v>124724</v>
      </c>
      <c r="L117" s="1541">
        <v>82362</v>
      </c>
      <c r="M117" s="1893">
        <v>42362</v>
      </c>
    </row>
    <row r="118" spans="1:13" x14ac:dyDescent="0.3">
      <c r="A118" s="1878" t="s">
        <v>3653</v>
      </c>
      <c r="B118" s="1460"/>
      <c r="C118" s="1459">
        <v>46020</v>
      </c>
      <c r="D118" s="1462"/>
      <c r="E118" s="1894">
        <v>46020</v>
      </c>
      <c r="J118" s="1541">
        <v>0</v>
      </c>
      <c r="K118" s="1541">
        <v>46020</v>
      </c>
      <c r="L118" s="1541">
        <v>0</v>
      </c>
      <c r="M118" s="1893">
        <v>46020</v>
      </c>
    </row>
    <row r="119" spans="1:13" x14ac:dyDescent="0.3">
      <c r="A119" s="1878" t="s">
        <v>3545</v>
      </c>
      <c r="B119" s="1460"/>
      <c r="C119" s="1459">
        <v>50032</v>
      </c>
      <c r="D119" s="1462"/>
      <c r="E119" s="1894">
        <v>50032</v>
      </c>
      <c r="F119" s="1460"/>
      <c r="G119" s="1462"/>
      <c r="H119" s="1459"/>
      <c r="I119" s="1468"/>
      <c r="J119" s="1541">
        <v>0</v>
      </c>
      <c r="K119" s="1541">
        <v>50032</v>
      </c>
      <c r="L119" s="1541">
        <v>0</v>
      </c>
      <c r="M119" s="1893">
        <v>50032</v>
      </c>
    </row>
    <row r="120" spans="1:13" x14ac:dyDescent="0.3">
      <c r="A120" s="1878" t="s">
        <v>3628</v>
      </c>
      <c r="B120" s="1460"/>
      <c r="C120" s="1459">
        <v>60899</v>
      </c>
      <c r="D120" s="1462"/>
      <c r="E120" s="1894">
        <v>60899</v>
      </c>
      <c r="J120" s="1541">
        <v>0</v>
      </c>
      <c r="K120" s="1541">
        <v>60899</v>
      </c>
      <c r="L120" s="1541">
        <v>0</v>
      </c>
      <c r="M120" s="1893">
        <v>60899</v>
      </c>
    </row>
    <row r="121" spans="1:13" x14ac:dyDescent="0.3">
      <c r="A121" s="1878" t="s">
        <v>3677</v>
      </c>
      <c r="B121" s="1460"/>
      <c r="C121" s="1459">
        <v>206000</v>
      </c>
      <c r="D121" s="1462"/>
      <c r="E121" s="1894">
        <v>206000</v>
      </c>
      <c r="F121" s="1460"/>
      <c r="G121" s="1462"/>
      <c r="H121" s="1459">
        <v>138000</v>
      </c>
      <c r="I121" s="1468">
        <v>-138000</v>
      </c>
      <c r="J121" s="1541">
        <v>0</v>
      </c>
      <c r="K121" s="1541">
        <v>206000</v>
      </c>
      <c r="L121" s="1541">
        <v>138000</v>
      </c>
      <c r="M121" s="1893">
        <v>68000</v>
      </c>
    </row>
    <row r="122" spans="1:13" x14ac:dyDescent="0.3">
      <c r="A122" s="1878" t="s">
        <v>3632</v>
      </c>
      <c r="B122" s="1460"/>
      <c r="C122" s="1459">
        <v>68648.800000000003</v>
      </c>
      <c r="D122" s="1462"/>
      <c r="E122" s="1894">
        <v>68648.800000000003</v>
      </c>
      <c r="J122" s="1541">
        <v>0</v>
      </c>
      <c r="K122" s="1541">
        <v>68648.800000000003</v>
      </c>
      <c r="L122" s="1541">
        <v>0</v>
      </c>
      <c r="M122" s="1893">
        <v>68648.800000000003</v>
      </c>
    </row>
    <row r="123" spans="1:13" x14ac:dyDescent="0.3">
      <c r="A123" s="1879" t="s">
        <v>2393</v>
      </c>
      <c r="B123" s="1894">
        <v>70000</v>
      </c>
      <c r="C123" s="1462"/>
      <c r="D123" s="1462"/>
      <c r="E123" s="1894">
        <v>70000</v>
      </c>
      <c r="F123" s="1468"/>
      <c r="G123" s="1460"/>
      <c r="H123" s="1460"/>
      <c r="I123" s="1468"/>
      <c r="J123" s="1541">
        <v>70000</v>
      </c>
      <c r="K123" s="1541">
        <v>0</v>
      </c>
      <c r="L123" s="1541">
        <v>0</v>
      </c>
      <c r="M123" s="1893">
        <v>70000</v>
      </c>
    </row>
    <row r="124" spans="1:13" x14ac:dyDescent="0.3">
      <c r="A124" s="1878" t="s">
        <v>3591</v>
      </c>
      <c r="B124" s="1460"/>
      <c r="C124" s="1459">
        <v>151000</v>
      </c>
      <c r="D124" s="1459">
        <v>76000</v>
      </c>
      <c r="E124" s="1894">
        <v>75000</v>
      </c>
      <c r="J124" s="1541">
        <v>0</v>
      </c>
      <c r="K124" s="1541">
        <v>151000</v>
      </c>
      <c r="L124" s="1541">
        <v>76000</v>
      </c>
      <c r="M124" s="1893">
        <v>75000</v>
      </c>
    </row>
    <row r="125" spans="1:13" x14ac:dyDescent="0.3">
      <c r="A125" s="1878" t="s">
        <v>3630</v>
      </c>
      <c r="B125" s="1460"/>
      <c r="C125" s="1459">
        <v>153445</v>
      </c>
      <c r="D125" s="1459">
        <v>76000</v>
      </c>
      <c r="E125" s="1894">
        <v>77445</v>
      </c>
      <c r="J125" s="1541">
        <v>0</v>
      </c>
      <c r="K125" s="1541">
        <v>153445</v>
      </c>
      <c r="L125" s="1541">
        <v>76000</v>
      </c>
      <c r="M125" s="1893">
        <v>77445</v>
      </c>
    </row>
    <row r="126" spans="1:13" x14ac:dyDescent="0.3">
      <c r="A126" s="1879" t="s">
        <v>3555</v>
      </c>
      <c r="B126" s="1460"/>
      <c r="C126" s="1459">
        <v>140400</v>
      </c>
      <c r="D126" s="1459">
        <v>60200</v>
      </c>
      <c r="E126" s="1894">
        <v>80200</v>
      </c>
      <c r="F126" s="1460"/>
      <c r="G126" s="1462"/>
      <c r="H126" s="1459"/>
      <c r="I126" s="1468"/>
      <c r="J126" s="1541">
        <v>0</v>
      </c>
      <c r="K126" s="1541">
        <v>140400</v>
      </c>
      <c r="L126" s="1541">
        <v>60200</v>
      </c>
      <c r="M126" s="1893">
        <v>80200</v>
      </c>
    </row>
    <row r="127" spans="1:13" x14ac:dyDescent="0.3">
      <c r="A127" s="1879" t="s">
        <v>3546</v>
      </c>
      <c r="B127" s="1460"/>
      <c r="C127" s="1459">
        <v>103804</v>
      </c>
      <c r="D127" s="1462"/>
      <c r="E127" s="1894">
        <v>103804</v>
      </c>
      <c r="F127" s="1460"/>
      <c r="G127" s="1462"/>
      <c r="H127" s="1459"/>
      <c r="I127" s="1468"/>
      <c r="J127" s="1541">
        <v>0</v>
      </c>
      <c r="K127" s="1541">
        <v>103804</v>
      </c>
      <c r="L127" s="1541">
        <v>0</v>
      </c>
      <c r="M127" s="1893">
        <v>103804</v>
      </c>
    </row>
    <row r="128" spans="1:13" x14ac:dyDescent="0.3">
      <c r="A128" s="1855" t="s">
        <v>3556</v>
      </c>
      <c r="B128" s="1460"/>
      <c r="C128" s="1459">
        <v>300404</v>
      </c>
      <c r="D128" s="1459">
        <v>196400</v>
      </c>
      <c r="E128" s="1894">
        <v>104004</v>
      </c>
      <c r="F128" s="1460"/>
      <c r="G128" s="1462"/>
      <c r="H128" s="1459"/>
      <c r="I128" s="1468"/>
      <c r="J128" s="1541">
        <v>0</v>
      </c>
      <c r="K128" s="1541">
        <v>300404</v>
      </c>
      <c r="L128" s="1541">
        <v>196400</v>
      </c>
      <c r="M128" s="1893">
        <v>104004</v>
      </c>
    </row>
    <row r="129" spans="1:13" x14ac:dyDescent="0.3">
      <c r="A129" s="1878" t="s">
        <v>3645</v>
      </c>
      <c r="B129" s="1460"/>
      <c r="C129" s="1459">
        <v>219056</v>
      </c>
      <c r="D129" s="1459">
        <v>109528</v>
      </c>
      <c r="E129" s="1894">
        <v>109528</v>
      </c>
      <c r="J129" s="1541">
        <v>0</v>
      </c>
      <c r="K129" s="1541">
        <v>219056</v>
      </c>
      <c r="L129" s="1541">
        <v>109528</v>
      </c>
      <c r="M129" s="1893">
        <v>109528</v>
      </c>
    </row>
    <row r="130" spans="1:13" x14ac:dyDescent="0.3">
      <c r="A130" s="1855" t="s">
        <v>2473</v>
      </c>
      <c r="B130" s="1462"/>
      <c r="C130" s="1456">
        <v>115623</v>
      </c>
      <c r="D130" s="1460"/>
      <c r="E130" s="1896">
        <v>115623</v>
      </c>
      <c r="J130" s="1541">
        <v>0</v>
      </c>
      <c r="K130" s="1541">
        <v>115623</v>
      </c>
      <c r="L130" s="1541">
        <v>0</v>
      </c>
      <c r="M130" s="1893">
        <v>115623</v>
      </c>
    </row>
    <row r="131" spans="1:13" x14ac:dyDescent="0.3">
      <c r="A131" s="1878" t="s">
        <v>3648</v>
      </c>
      <c r="B131" s="1460"/>
      <c r="C131" s="1459">
        <v>175879</v>
      </c>
      <c r="D131" s="1459">
        <v>58292</v>
      </c>
      <c r="E131" s="1894">
        <v>117587</v>
      </c>
      <c r="J131" s="1541">
        <v>0</v>
      </c>
      <c r="K131" s="1541">
        <v>175879</v>
      </c>
      <c r="L131" s="1541">
        <v>58292</v>
      </c>
      <c r="M131" s="1893">
        <v>117587</v>
      </c>
    </row>
    <row r="132" spans="1:13" x14ac:dyDescent="0.3">
      <c r="A132" s="1878" t="s">
        <v>3566</v>
      </c>
      <c r="B132" s="1460"/>
      <c r="C132" s="1459">
        <v>118008</v>
      </c>
      <c r="D132" s="1462"/>
      <c r="E132" s="1894">
        <v>118008</v>
      </c>
      <c r="F132" s="1460"/>
      <c r="G132" s="1462"/>
      <c r="H132" s="1459"/>
      <c r="I132" s="1468"/>
      <c r="J132" s="1541">
        <v>0</v>
      </c>
      <c r="K132" s="1541">
        <v>118008</v>
      </c>
      <c r="L132" s="1541">
        <v>0</v>
      </c>
      <c r="M132" s="1893">
        <v>118008</v>
      </c>
    </row>
    <row r="133" spans="1:13" x14ac:dyDescent="0.3">
      <c r="A133" s="1878" t="s">
        <v>3543</v>
      </c>
      <c r="B133" s="1460"/>
      <c r="C133" s="1459">
        <v>244460</v>
      </c>
      <c r="D133" s="1459">
        <v>125180</v>
      </c>
      <c r="E133" s="1894">
        <v>119280</v>
      </c>
      <c r="F133" s="1460"/>
      <c r="G133" s="1462"/>
      <c r="H133" s="1459"/>
      <c r="I133" s="1468"/>
      <c r="J133" s="1541">
        <v>0</v>
      </c>
      <c r="K133" s="1541">
        <v>244460</v>
      </c>
      <c r="L133" s="1541">
        <v>125180</v>
      </c>
      <c r="M133" s="1893">
        <v>119280</v>
      </c>
    </row>
    <row r="134" spans="1:13" x14ac:dyDescent="0.3">
      <c r="A134" s="1855" t="s">
        <v>3606</v>
      </c>
      <c r="B134" s="1460"/>
      <c r="C134" s="1459">
        <v>122600</v>
      </c>
      <c r="D134" s="1462"/>
      <c r="E134" s="1894">
        <v>122600</v>
      </c>
      <c r="J134" s="1541">
        <v>0</v>
      </c>
      <c r="K134" s="1541">
        <v>122600</v>
      </c>
      <c r="L134" s="1541">
        <v>0</v>
      </c>
      <c r="M134" s="1893">
        <v>122600</v>
      </c>
    </row>
    <row r="135" spans="1:13" x14ac:dyDescent="0.3">
      <c r="A135" s="1878" t="s">
        <v>3582</v>
      </c>
      <c r="B135" s="1460"/>
      <c r="C135" s="1459">
        <v>127600</v>
      </c>
      <c r="D135" s="1462"/>
      <c r="E135" s="1894">
        <v>127600</v>
      </c>
      <c r="J135" s="1541">
        <v>0</v>
      </c>
      <c r="K135" s="1541">
        <v>127600</v>
      </c>
      <c r="L135" s="1541">
        <v>0</v>
      </c>
      <c r="M135" s="1893">
        <v>127600</v>
      </c>
    </row>
    <row r="136" spans="1:13" ht="22.8" x14ac:dyDescent="0.3">
      <c r="A136" s="1880" t="s">
        <v>3617</v>
      </c>
      <c r="B136" s="1460"/>
      <c r="C136" s="1459">
        <v>528600</v>
      </c>
      <c r="D136" s="1459">
        <v>100150</v>
      </c>
      <c r="E136" s="1894">
        <v>428450</v>
      </c>
      <c r="F136" s="1460"/>
      <c r="G136" s="1462"/>
      <c r="H136" s="1459">
        <v>278300</v>
      </c>
      <c r="I136" s="1468">
        <v>-278300</v>
      </c>
      <c r="J136" s="1541">
        <v>0</v>
      </c>
      <c r="K136" s="1541">
        <v>528600</v>
      </c>
      <c r="L136" s="1541">
        <v>378450</v>
      </c>
      <c r="M136" s="1893">
        <v>150150</v>
      </c>
    </row>
    <row r="137" spans="1:13" x14ac:dyDescent="0.3">
      <c r="A137" s="1879" t="s">
        <v>3641</v>
      </c>
      <c r="B137" s="1460"/>
      <c r="C137" s="1459">
        <v>310388</v>
      </c>
      <c r="D137" s="1459">
        <v>155194</v>
      </c>
      <c r="E137" s="1894">
        <v>155194</v>
      </c>
      <c r="J137" s="1541">
        <v>0</v>
      </c>
      <c r="K137" s="1541">
        <v>310388</v>
      </c>
      <c r="L137" s="1541">
        <v>155194</v>
      </c>
      <c r="M137" s="1893">
        <v>155194</v>
      </c>
    </row>
    <row r="138" spans="1:13" x14ac:dyDescent="0.3">
      <c r="A138" s="1878" t="s">
        <v>3625</v>
      </c>
      <c r="B138" s="1460"/>
      <c r="C138" s="1459">
        <v>157500</v>
      </c>
      <c r="D138" s="1462"/>
      <c r="E138" s="1894">
        <v>157500</v>
      </c>
      <c r="J138" s="1541">
        <v>0</v>
      </c>
      <c r="K138" s="1541">
        <v>157500</v>
      </c>
      <c r="L138" s="1541">
        <v>0</v>
      </c>
      <c r="M138" s="1893">
        <v>157500</v>
      </c>
    </row>
    <row r="139" spans="1:13" x14ac:dyDescent="0.3">
      <c r="A139" s="1878" t="s">
        <v>3660</v>
      </c>
      <c r="B139" s="1460"/>
      <c r="C139" s="1459">
        <v>350460</v>
      </c>
      <c r="D139" s="1459">
        <v>191160</v>
      </c>
      <c r="E139" s="1894">
        <v>159300</v>
      </c>
      <c r="J139" s="1541">
        <v>0</v>
      </c>
      <c r="K139" s="1541">
        <v>350460</v>
      </c>
      <c r="L139" s="1541">
        <v>191160</v>
      </c>
      <c r="M139" s="1893">
        <v>159300</v>
      </c>
    </row>
    <row r="140" spans="1:13" x14ac:dyDescent="0.3">
      <c r="A140" s="1878" t="s">
        <v>3567</v>
      </c>
      <c r="B140" s="1460"/>
      <c r="C140" s="1459">
        <v>401200</v>
      </c>
      <c r="D140" s="1459">
        <v>238360</v>
      </c>
      <c r="E140" s="1894">
        <v>162840</v>
      </c>
      <c r="J140" s="1541">
        <v>0</v>
      </c>
      <c r="K140" s="1541">
        <v>401200</v>
      </c>
      <c r="L140" s="1541">
        <v>238360</v>
      </c>
      <c r="M140" s="1893">
        <v>162840</v>
      </c>
    </row>
    <row r="141" spans="1:13" x14ac:dyDescent="0.3">
      <c r="A141" s="1878" t="s">
        <v>3614</v>
      </c>
      <c r="B141" s="1460"/>
      <c r="C141" s="1459">
        <v>500818</v>
      </c>
      <c r="D141" s="1459">
        <v>333878.64</v>
      </c>
      <c r="E141" s="1894">
        <v>166939.35999999999</v>
      </c>
      <c r="J141" s="1541">
        <v>0</v>
      </c>
      <c r="K141" s="1541">
        <v>500818</v>
      </c>
      <c r="L141" s="1541">
        <v>333878.64</v>
      </c>
      <c r="M141" s="1893">
        <v>166939.35999999999</v>
      </c>
    </row>
    <row r="142" spans="1:13" x14ac:dyDescent="0.3">
      <c r="A142" s="1879" t="s">
        <v>3598</v>
      </c>
      <c r="B142" s="1460"/>
      <c r="C142" s="1459">
        <v>384620</v>
      </c>
      <c r="D142" s="1459">
        <v>192310</v>
      </c>
      <c r="E142" s="1894">
        <v>192310</v>
      </c>
      <c r="J142" s="1541">
        <v>0</v>
      </c>
      <c r="K142" s="1541">
        <v>384620</v>
      </c>
      <c r="L142" s="1541">
        <v>192310</v>
      </c>
      <c r="M142" s="1893">
        <v>192310</v>
      </c>
    </row>
    <row r="143" spans="1:13" x14ac:dyDescent="0.3">
      <c r="A143" s="1878" t="s">
        <v>3541</v>
      </c>
      <c r="B143" s="1460"/>
      <c r="C143" s="1459">
        <v>398250</v>
      </c>
      <c r="D143" s="1459">
        <v>190688</v>
      </c>
      <c r="E143" s="1894">
        <v>207562</v>
      </c>
      <c r="F143" s="1460"/>
      <c r="G143" s="1462"/>
      <c r="H143" s="1459"/>
      <c r="I143" s="1468"/>
      <c r="J143" s="1541">
        <v>0</v>
      </c>
      <c r="K143" s="1541">
        <v>398250</v>
      </c>
      <c r="L143" s="1541">
        <v>190688</v>
      </c>
      <c r="M143" s="1893">
        <v>207562</v>
      </c>
    </row>
    <row r="144" spans="1:13" x14ac:dyDescent="0.3">
      <c r="A144" s="1878" t="s">
        <v>3651</v>
      </c>
      <c r="B144" s="1460"/>
      <c r="C144" s="1459">
        <v>215000</v>
      </c>
      <c r="D144" s="1462"/>
      <c r="E144" s="1894">
        <v>215000</v>
      </c>
      <c r="J144" s="1541">
        <v>0</v>
      </c>
      <c r="K144" s="1541">
        <v>215000</v>
      </c>
      <c r="L144" s="1541">
        <v>0</v>
      </c>
      <c r="M144" s="1893">
        <v>215000</v>
      </c>
    </row>
    <row r="145" spans="1:13" x14ac:dyDescent="0.3">
      <c r="A145" s="1878" t="s">
        <v>2394</v>
      </c>
      <c r="B145" s="1894">
        <v>247065.25</v>
      </c>
      <c r="C145" s="1462"/>
      <c r="D145" s="1462"/>
      <c r="E145" s="1894">
        <v>247065.25</v>
      </c>
      <c r="J145" s="1541">
        <v>247065.25</v>
      </c>
      <c r="K145" s="1541">
        <v>0</v>
      </c>
      <c r="L145" s="1541">
        <v>0</v>
      </c>
      <c r="M145" s="1893">
        <v>247065.25</v>
      </c>
    </row>
    <row r="146" spans="1:13" x14ac:dyDescent="0.3">
      <c r="A146" s="1878" t="s">
        <v>3578</v>
      </c>
      <c r="B146" s="1460"/>
      <c r="C146" s="1459">
        <v>2380578.7999999998</v>
      </c>
      <c r="D146" s="1459">
        <v>2104730</v>
      </c>
      <c r="E146" s="1894">
        <v>275848.8</v>
      </c>
      <c r="J146" s="1541">
        <v>0</v>
      </c>
      <c r="K146" s="1541">
        <v>2380578.7999999998</v>
      </c>
      <c r="L146" s="1541">
        <v>2104730</v>
      </c>
      <c r="M146" s="1893">
        <v>275848.8</v>
      </c>
    </row>
    <row r="147" spans="1:13" x14ac:dyDescent="0.3">
      <c r="A147" s="1855" t="s">
        <v>3679</v>
      </c>
      <c r="B147" s="1460"/>
      <c r="C147" s="1459">
        <v>3612844</v>
      </c>
      <c r="D147" s="1459">
        <v>1621318</v>
      </c>
      <c r="E147" s="1894">
        <v>1991526</v>
      </c>
      <c r="F147" s="1460"/>
      <c r="G147" s="1462"/>
      <c r="H147" s="1459">
        <v>1604760</v>
      </c>
      <c r="I147" s="1468">
        <v>-1604760</v>
      </c>
      <c r="J147" s="1541">
        <v>0</v>
      </c>
      <c r="K147" s="1541">
        <v>3612844</v>
      </c>
      <c r="L147" s="1541">
        <v>3226078</v>
      </c>
      <c r="M147" s="1893">
        <v>386766</v>
      </c>
    </row>
    <row r="148" spans="1:13" x14ac:dyDescent="0.3">
      <c r="A148" s="1879" t="s">
        <v>3574</v>
      </c>
      <c r="B148" s="1460"/>
      <c r="C148" s="1459">
        <v>887360</v>
      </c>
      <c r="D148" s="1459">
        <v>489700</v>
      </c>
      <c r="E148" s="1894">
        <v>397660</v>
      </c>
      <c r="J148" s="1541">
        <v>0</v>
      </c>
      <c r="K148" s="1541">
        <v>887360</v>
      </c>
      <c r="L148" s="1541">
        <v>489700</v>
      </c>
      <c r="M148" s="1893">
        <v>397660</v>
      </c>
    </row>
    <row r="149" spans="1:13" x14ac:dyDescent="0.3">
      <c r="A149" s="1878" t="s">
        <v>3590</v>
      </c>
      <c r="B149" s="1460"/>
      <c r="C149" s="1459">
        <v>400000</v>
      </c>
      <c r="D149" s="1462"/>
      <c r="E149" s="1894">
        <v>400000</v>
      </c>
      <c r="J149" s="1541">
        <v>0</v>
      </c>
      <c r="K149" s="1541">
        <v>400000</v>
      </c>
      <c r="L149" s="1541">
        <v>0</v>
      </c>
      <c r="M149" s="1893">
        <v>400000</v>
      </c>
    </row>
    <row r="150" spans="1:13" x14ac:dyDescent="0.3">
      <c r="A150" s="1878" t="s">
        <v>3658</v>
      </c>
      <c r="B150" s="1460"/>
      <c r="C150" s="1459">
        <v>410450</v>
      </c>
      <c r="D150" s="1462"/>
      <c r="E150" s="1894">
        <v>410450</v>
      </c>
      <c r="J150" s="1541">
        <v>0</v>
      </c>
      <c r="K150" s="1541">
        <v>410450</v>
      </c>
      <c r="L150" s="1541">
        <v>0</v>
      </c>
      <c r="M150" s="1893">
        <v>410450</v>
      </c>
    </row>
    <row r="151" spans="1:13" x14ac:dyDescent="0.3">
      <c r="A151" s="1879" t="s">
        <v>3561</v>
      </c>
      <c r="B151" s="1460"/>
      <c r="C151" s="1459">
        <v>495600</v>
      </c>
      <c r="D151" s="1462"/>
      <c r="E151" s="1894">
        <v>495600</v>
      </c>
      <c r="F151" s="1460"/>
      <c r="G151" s="1462"/>
      <c r="H151" s="1459"/>
      <c r="I151" s="1468"/>
      <c r="J151" s="1541">
        <v>0</v>
      </c>
      <c r="K151" s="1541">
        <v>495600</v>
      </c>
      <c r="L151" s="1541">
        <v>0</v>
      </c>
      <c r="M151" s="1893">
        <v>495600</v>
      </c>
    </row>
    <row r="152" spans="1:13" x14ac:dyDescent="0.3">
      <c r="A152" s="1878" t="s">
        <v>3548</v>
      </c>
      <c r="B152" s="1460"/>
      <c r="C152" s="1459">
        <v>500000</v>
      </c>
      <c r="D152" s="1462"/>
      <c r="E152" s="1894">
        <v>500000</v>
      </c>
      <c r="F152" s="1460"/>
      <c r="G152" s="1462"/>
      <c r="H152" s="1459"/>
      <c r="I152" s="1468"/>
      <c r="J152" s="1541">
        <v>0</v>
      </c>
      <c r="K152" s="1541">
        <v>500000</v>
      </c>
      <c r="L152" s="1541">
        <v>0</v>
      </c>
      <c r="M152" s="1893">
        <v>500000</v>
      </c>
    </row>
    <row r="153" spans="1:13" x14ac:dyDescent="0.3">
      <c r="A153" s="1855" t="s">
        <v>3657</v>
      </c>
      <c r="B153" s="1460"/>
      <c r="C153" s="1459">
        <v>1029727</v>
      </c>
      <c r="D153" s="1459">
        <v>482207</v>
      </c>
      <c r="E153" s="1894">
        <v>547520</v>
      </c>
      <c r="J153" s="1541">
        <v>0</v>
      </c>
      <c r="K153" s="1541">
        <v>1029727</v>
      </c>
      <c r="L153" s="1541">
        <v>482207</v>
      </c>
      <c r="M153" s="1893">
        <v>547520</v>
      </c>
    </row>
    <row r="154" spans="1:13" x14ac:dyDescent="0.3">
      <c r="A154" s="1878" t="s">
        <v>3671</v>
      </c>
      <c r="B154" s="1460"/>
      <c r="C154" s="1459">
        <v>3097500</v>
      </c>
      <c r="D154" s="1459">
        <v>1858500</v>
      </c>
      <c r="E154" s="1894">
        <v>1239000</v>
      </c>
      <c r="F154" s="1460"/>
      <c r="G154" s="1462"/>
      <c r="H154" s="1459">
        <v>619500</v>
      </c>
      <c r="I154" s="1468">
        <v>-619500</v>
      </c>
      <c r="J154" s="1541">
        <v>0</v>
      </c>
      <c r="K154" s="1541">
        <v>3097500</v>
      </c>
      <c r="L154" s="1541">
        <v>2478000</v>
      </c>
      <c r="M154" s="1893">
        <v>619500</v>
      </c>
    </row>
    <row r="155" spans="1:13" x14ac:dyDescent="0.3">
      <c r="A155" s="1879" t="s">
        <v>3570</v>
      </c>
      <c r="B155" s="1460"/>
      <c r="C155" s="1459">
        <v>1441599</v>
      </c>
      <c r="D155" s="1459">
        <v>767000</v>
      </c>
      <c r="E155" s="1894">
        <v>674599</v>
      </c>
      <c r="J155" s="1541">
        <v>0</v>
      </c>
      <c r="K155" s="1541">
        <v>1441599</v>
      </c>
      <c r="L155" s="1541">
        <v>767000</v>
      </c>
      <c r="M155" s="1893">
        <v>674599</v>
      </c>
    </row>
    <row r="156" spans="1:13" x14ac:dyDescent="0.3">
      <c r="A156" s="1879" t="s">
        <v>3579</v>
      </c>
      <c r="B156" s="1460"/>
      <c r="C156" s="1459">
        <v>1439774</v>
      </c>
      <c r="D156" s="1459">
        <v>719887.07</v>
      </c>
      <c r="E156" s="1894">
        <v>719886.93</v>
      </c>
      <c r="J156" s="1541">
        <v>0</v>
      </c>
      <c r="K156" s="1541">
        <v>1439774</v>
      </c>
      <c r="L156" s="1541">
        <v>719887.07</v>
      </c>
      <c r="M156" s="1893">
        <v>719886.93</v>
      </c>
    </row>
    <row r="157" spans="1:13" x14ac:dyDescent="0.3">
      <c r="A157" s="1855" t="s">
        <v>3569</v>
      </c>
      <c r="B157" s="1460"/>
      <c r="C157" s="1459">
        <v>2111088</v>
      </c>
      <c r="D157" s="1459">
        <v>1335038</v>
      </c>
      <c r="E157" s="1894">
        <v>776050</v>
      </c>
      <c r="J157" s="1541">
        <v>0</v>
      </c>
      <c r="K157" s="1541">
        <v>2111088</v>
      </c>
      <c r="L157" s="1541">
        <v>1335038</v>
      </c>
      <c r="M157" s="1893">
        <v>776050</v>
      </c>
    </row>
    <row r="158" spans="1:13" x14ac:dyDescent="0.3">
      <c r="A158" s="1855" t="s">
        <v>3611</v>
      </c>
      <c r="B158" s="1460"/>
      <c r="C158" s="1459">
        <v>1494187</v>
      </c>
      <c r="D158" s="1459">
        <v>717274</v>
      </c>
      <c r="E158" s="1894">
        <v>776913</v>
      </c>
      <c r="J158" s="1541">
        <v>0</v>
      </c>
      <c r="K158" s="1541">
        <v>1494187</v>
      </c>
      <c r="L158" s="1541">
        <v>717274</v>
      </c>
      <c r="M158" s="1893">
        <v>776913</v>
      </c>
    </row>
    <row r="159" spans="1:13" x14ac:dyDescent="0.3">
      <c r="A159" s="1878" t="s">
        <v>3608</v>
      </c>
      <c r="B159" s="1460"/>
      <c r="C159" s="1459">
        <v>2006708</v>
      </c>
      <c r="D159" s="1459">
        <v>1003354</v>
      </c>
      <c r="E159" s="1894">
        <v>1003354</v>
      </c>
      <c r="J159" s="1541">
        <v>0</v>
      </c>
      <c r="K159" s="1541">
        <v>2006708</v>
      </c>
      <c r="L159" s="1541">
        <v>1003354</v>
      </c>
      <c r="M159" s="1893">
        <v>1003354</v>
      </c>
    </row>
    <row r="160" spans="1:13" x14ac:dyDescent="0.3">
      <c r="A160" s="1895" t="s">
        <v>3691</v>
      </c>
      <c r="B160" s="1462"/>
      <c r="C160" s="1456">
        <v>1070000</v>
      </c>
      <c r="D160" s="1460"/>
      <c r="E160" s="1896">
        <v>1070000</v>
      </c>
      <c r="J160" s="1541">
        <v>0</v>
      </c>
      <c r="K160" s="1541">
        <v>1070000</v>
      </c>
      <c r="L160" s="1541">
        <v>0</v>
      </c>
      <c r="M160" s="1893">
        <v>1070000</v>
      </c>
    </row>
    <row r="161" spans="1:13" x14ac:dyDescent="0.3">
      <c r="A161" s="1878" t="s">
        <v>3572</v>
      </c>
      <c r="B161" s="1460"/>
      <c r="C161" s="1459">
        <v>2242000</v>
      </c>
      <c r="D161" s="1459">
        <v>1120999</v>
      </c>
      <c r="E161" s="1894">
        <v>1121001</v>
      </c>
      <c r="J161" s="1541">
        <v>0</v>
      </c>
      <c r="K161" s="1541">
        <v>2242000</v>
      </c>
      <c r="L161" s="1541">
        <v>1120999</v>
      </c>
      <c r="M161" s="1893">
        <v>1121001</v>
      </c>
    </row>
    <row r="162" spans="1:13" x14ac:dyDescent="0.3">
      <c r="A162" s="1878" t="s">
        <v>3565</v>
      </c>
      <c r="B162" s="1460"/>
      <c r="C162" s="1459">
        <v>2837038</v>
      </c>
      <c r="D162" s="1459">
        <v>1685940.34</v>
      </c>
      <c r="E162" s="1894">
        <v>1151097.6599999999</v>
      </c>
      <c r="F162" s="1460"/>
      <c r="G162" s="1462"/>
      <c r="H162" s="1459"/>
      <c r="I162" s="1468"/>
      <c r="J162" s="1541">
        <v>0</v>
      </c>
      <c r="K162" s="1541">
        <v>2837038</v>
      </c>
      <c r="L162" s="1541">
        <v>1685940.34</v>
      </c>
      <c r="M162" s="1893">
        <v>1151097.6599999999</v>
      </c>
    </row>
    <row r="163" spans="1:13" x14ac:dyDescent="0.3">
      <c r="A163" s="1878" t="s">
        <v>3639</v>
      </c>
      <c r="B163" s="1460"/>
      <c r="C163" s="1459">
        <v>1459713</v>
      </c>
      <c r="D163" s="1462"/>
      <c r="E163" s="1894">
        <v>1459713</v>
      </c>
      <c r="J163" s="1541">
        <v>0</v>
      </c>
      <c r="K163" s="1541">
        <v>1459713</v>
      </c>
      <c r="L163" s="1541">
        <v>0</v>
      </c>
      <c r="M163" s="1893">
        <v>1459713</v>
      </c>
    </row>
    <row r="164" spans="1:13" x14ac:dyDescent="0.3">
      <c r="A164" s="1878" t="s">
        <v>3610</v>
      </c>
      <c r="B164" s="1460"/>
      <c r="C164" s="1459">
        <v>4063950</v>
      </c>
      <c r="D164" s="1459">
        <v>2429100</v>
      </c>
      <c r="E164" s="1894">
        <v>1634850</v>
      </c>
      <c r="J164" s="1541">
        <v>0</v>
      </c>
      <c r="K164" s="1541">
        <v>4063950</v>
      </c>
      <c r="L164" s="1541">
        <v>2429100</v>
      </c>
      <c r="M164" s="1893">
        <v>1634850</v>
      </c>
    </row>
    <row r="165" spans="1:13" ht="22.8" x14ac:dyDescent="0.3">
      <c r="A165" s="1880" t="s">
        <v>3652</v>
      </c>
      <c r="B165" s="1460"/>
      <c r="C165" s="1459">
        <v>3229300</v>
      </c>
      <c r="D165" s="1459">
        <v>1545800</v>
      </c>
      <c r="E165" s="1894">
        <v>1683500</v>
      </c>
      <c r="F165" s="1460"/>
      <c r="G165" s="1462"/>
      <c r="H165" s="1459"/>
      <c r="I165" s="1468"/>
      <c r="J165" s="1541">
        <v>0</v>
      </c>
      <c r="K165" s="1541">
        <v>3229300</v>
      </c>
      <c r="L165" s="1541">
        <v>1545800</v>
      </c>
      <c r="M165" s="1893">
        <v>1683500</v>
      </c>
    </row>
    <row r="166" spans="1:13" x14ac:dyDescent="0.3">
      <c r="A166" s="1878" t="s">
        <v>3663</v>
      </c>
      <c r="B166" s="1460"/>
      <c r="C166" s="1459">
        <v>4032000</v>
      </c>
      <c r="D166" s="1459">
        <v>2016000</v>
      </c>
      <c r="E166" s="1894">
        <v>2016000</v>
      </c>
      <c r="J166" s="1541">
        <v>0</v>
      </c>
      <c r="K166" s="1541">
        <v>4032000</v>
      </c>
      <c r="L166" s="1541">
        <v>2016000</v>
      </c>
      <c r="M166" s="1893">
        <v>2016000</v>
      </c>
    </row>
    <row r="167" spans="1:13" x14ac:dyDescent="0.3">
      <c r="A167" s="1895" t="s">
        <v>3693</v>
      </c>
      <c r="B167" s="1471">
        <v>-5075815.34</v>
      </c>
      <c r="C167" s="1460"/>
      <c r="D167" s="1460"/>
      <c r="E167" s="1471">
        <v>-5075815.34</v>
      </c>
      <c r="F167" s="1894">
        <v>7231323.7400000002</v>
      </c>
      <c r="G167" s="1462"/>
      <c r="H167" s="1462"/>
      <c r="I167" s="1894">
        <v>7231323.7400000002</v>
      </c>
      <c r="J167" s="1541">
        <v>2155508.4000000004</v>
      </c>
      <c r="K167" s="1541">
        <v>0</v>
      </c>
      <c r="L167" s="1541">
        <v>0</v>
      </c>
      <c r="M167" s="1893">
        <v>2155508.4000000004</v>
      </c>
    </row>
    <row r="168" spans="1:13" x14ac:dyDescent="0.3">
      <c r="A168" s="1878" t="s">
        <v>3602</v>
      </c>
      <c r="B168" s="1460"/>
      <c r="C168" s="1459">
        <v>4637279</v>
      </c>
      <c r="D168" s="1459">
        <v>2411279</v>
      </c>
      <c r="E168" s="1894">
        <v>2226000</v>
      </c>
      <c r="J168" s="1541">
        <v>0</v>
      </c>
      <c r="K168" s="1541">
        <v>4637279</v>
      </c>
      <c r="L168" s="1541">
        <v>2411279</v>
      </c>
      <c r="M168" s="1893">
        <v>2226000</v>
      </c>
    </row>
    <row r="169" spans="1:13" x14ac:dyDescent="0.3">
      <c r="A169" s="1878" t="s">
        <v>3584</v>
      </c>
      <c r="B169" s="1460"/>
      <c r="C169" s="1459">
        <v>6655790</v>
      </c>
      <c r="D169" s="1459">
        <v>4191360</v>
      </c>
      <c r="E169" s="1894">
        <v>2464430</v>
      </c>
      <c r="J169" s="1541">
        <v>0</v>
      </c>
      <c r="K169" s="1541">
        <v>6655790</v>
      </c>
      <c r="L169" s="1541">
        <v>4191360</v>
      </c>
      <c r="M169" s="1893">
        <v>2464430</v>
      </c>
    </row>
    <row r="170" spans="1:13" x14ac:dyDescent="0.3">
      <c r="A170" s="1878" t="s">
        <v>3613</v>
      </c>
      <c r="B170" s="1460"/>
      <c r="C170" s="1459">
        <v>2637772</v>
      </c>
      <c r="D170" s="1462"/>
      <c r="E170" s="1894">
        <v>2637772</v>
      </c>
      <c r="J170" s="1541">
        <v>0</v>
      </c>
      <c r="K170" s="1541">
        <v>2637772</v>
      </c>
      <c r="L170" s="1541">
        <v>0</v>
      </c>
      <c r="M170" s="1893">
        <v>2637772</v>
      </c>
    </row>
    <row r="171" spans="1:13" x14ac:dyDescent="0.3">
      <c r="A171" s="1878" t="s">
        <v>3558</v>
      </c>
      <c r="B171" s="1460"/>
      <c r="C171" s="1459">
        <v>13000000</v>
      </c>
      <c r="D171" s="1459">
        <v>9598514</v>
      </c>
      <c r="E171" s="1894">
        <v>3401486</v>
      </c>
      <c r="F171" s="1460"/>
      <c r="G171" s="1462"/>
      <c r="H171" s="1459"/>
      <c r="I171" s="1468"/>
      <c r="J171" s="1541">
        <v>0</v>
      </c>
      <c r="K171" s="1541">
        <v>13000000</v>
      </c>
      <c r="L171" s="1541">
        <v>9598514</v>
      </c>
      <c r="M171" s="1893">
        <v>3401486</v>
      </c>
    </row>
    <row r="172" spans="1:13" x14ac:dyDescent="0.3">
      <c r="A172" s="1878" t="s">
        <v>3557</v>
      </c>
      <c r="B172" s="1460"/>
      <c r="C172" s="1459">
        <v>12876782</v>
      </c>
      <c r="D172" s="1459">
        <v>9204000</v>
      </c>
      <c r="E172" s="1894">
        <v>3672782</v>
      </c>
      <c r="F172" s="1460"/>
      <c r="G172" s="1462"/>
      <c r="H172" s="1459"/>
      <c r="I172" s="1468"/>
      <c r="J172" s="1541">
        <v>0</v>
      </c>
      <c r="K172" s="1541">
        <v>12876782</v>
      </c>
      <c r="L172" s="1541">
        <v>9204000</v>
      </c>
      <c r="M172" s="1893">
        <v>3672782</v>
      </c>
    </row>
    <row r="173" spans="1:13" x14ac:dyDescent="0.3">
      <c r="A173" s="1878" t="s">
        <v>3650</v>
      </c>
      <c r="B173" s="1460"/>
      <c r="C173" s="1459">
        <v>18620000</v>
      </c>
      <c r="D173" s="1459">
        <v>13723478</v>
      </c>
      <c r="E173" s="1894">
        <v>4896522</v>
      </c>
      <c r="J173" s="1541">
        <v>0</v>
      </c>
      <c r="K173" s="1541">
        <v>18620000</v>
      </c>
      <c r="L173" s="1541">
        <v>13723478</v>
      </c>
      <c r="M173" s="1893">
        <v>4896522</v>
      </c>
    </row>
    <row r="174" spans="1:13" x14ac:dyDescent="0.3">
      <c r="A174" s="1878" t="s">
        <v>3674</v>
      </c>
      <c r="B174" s="1460"/>
      <c r="C174" s="1459">
        <v>22114206</v>
      </c>
      <c r="D174" s="1459">
        <v>12060603</v>
      </c>
      <c r="E174" s="1894">
        <v>10053603</v>
      </c>
      <c r="F174" s="1460"/>
      <c r="G174" s="1462"/>
      <c r="H174" s="1459">
        <v>5073280</v>
      </c>
      <c r="I174" s="1468">
        <v>-5073280</v>
      </c>
      <c r="J174" s="1541">
        <v>0</v>
      </c>
      <c r="K174" s="1541">
        <v>22114206</v>
      </c>
      <c r="L174" s="1541">
        <v>17133883</v>
      </c>
      <c r="M174" s="1893">
        <v>4980323</v>
      </c>
    </row>
    <row r="175" spans="1:13" x14ac:dyDescent="0.3">
      <c r="A175" s="1878" t="s">
        <v>3615</v>
      </c>
      <c r="B175" s="1460"/>
      <c r="C175" s="1459">
        <v>17264325</v>
      </c>
      <c r="D175" s="1459">
        <v>11370290</v>
      </c>
      <c r="E175" s="1894">
        <v>5894035</v>
      </c>
      <c r="J175" s="1541">
        <v>0</v>
      </c>
      <c r="K175" s="1541">
        <v>17264325</v>
      </c>
      <c r="L175" s="1541">
        <v>11370290</v>
      </c>
      <c r="M175" s="1893">
        <v>5894035</v>
      </c>
    </row>
    <row r="176" spans="1:13" x14ac:dyDescent="0.3">
      <c r="A176" s="1895" t="s">
        <v>3692</v>
      </c>
      <c r="B176" s="1896">
        <v>5616653.6699999999</v>
      </c>
      <c r="C176" s="1460"/>
      <c r="D176" s="1456">
        <v>100000</v>
      </c>
      <c r="E176" s="1896">
        <v>5516653.6699999999</v>
      </c>
      <c r="F176" s="1894">
        <v>415851.45</v>
      </c>
      <c r="G176" s="1462"/>
      <c r="H176" s="1462"/>
      <c r="I176" s="1894">
        <v>415851.45</v>
      </c>
      <c r="J176" s="1541">
        <v>6032505.1200000001</v>
      </c>
      <c r="K176" s="1541">
        <v>0</v>
      </c>
      <c r="L176" s="1541">
        <v>100000</v>
      </c>
      <c r="M176" s="1893">
        <v>5932505.1200000001</v>
      </c>
    </row>
    <row r="177" spans="1:13" x14ac:dyDescent="0.3">
      <c r="A177" s="1878" t="s">
        <v>3662</v>
      </c>
      <c r="B177" s="1460"/>
      <c r="C177" s="1459">
        <v>9017074</v>
      </c>
      <c r="D177" s="1462"/>
      <c r="E177" s="1894">
        <v>9017074</v>
      </c>
      <c r="J177" s="1541">
        <v>0</v>
      </c>
      <c r="K177" s="1541">
        <v>9017074</v>
      </c>
      <c r="L177" s="1541">
        <v>0</v>
      </c>
      <c r="M177" s="1893">
        <v>9017074</v>
      </c>
    </row>
    <row r="178" spans="1:13" x14ac:dyDescent="0.3">
      <c r="A178" s="1878" t="s">
        <v>3619</v>
      </c>
      <c r="B178" s="1460"/>
      <c r="C178" s="1459">
        <v>29662520</v>
      </c>
      <c r="D178" s="1459">
        <v>18553364</v>
      </c>
      <c r="E178" s="1894">
        <v>11109156</v>
      </c>
      <c r="J178" s="1541">
        <v>0</v>
      </c>
      <c r="K178" s="1541">
        <v>29662520</v>
      </c>
      <c r="L178" s="1541">
        <v>18553364</v>
      </c>
      <c r="M178" s="1893">
        <v>11109156</v>
      </c>
    </row>
    <row r="179" spans="1:13" x14ac:dyDescent="0.3">
      <c r="A179" s="1855" t="s">
        <v>3618</v>
      </c>
      <c r="B179" s="1460"/>
      <c r="C179" s="1459">
        <v>24780000</v>
      </c>
      <c r="D179" s="1459">
        <v>12390000</v>
      </c>
      <c r="E179" s="1894">
        <v>12390000</v>
      </c>
      <c r="J179" s="1541">
        <v>0</v>
      </c>
      <c r="K179" s="1541">
        <v>24780000</v>
      </c>
      <c r="L179" s="1541">
        <v>12390000</v>
      </c>
      <c r="M179" s="1893">
        <v>12390000</v>
      </c>
    </row>
    <row r="180" spans="1:13" x14ac:dyDescent="0.3">
      <c r="A180" s="1855" t="s">
        <v>3638</v>
      </c>
      <c r="B180" s="1460"/>
      <c r="C180" s="1459">
        <v>30038788</v>
      </c>
      <c r="D180" s="1459">
        <v>10464613.300000001</v>
      </c>
      <c r="E180" s="1894">
        <v>19574174.699999999</v>
      </c>
      <c r="J180" s="1541">
        <v>0</v>
      </c>
      <c r="K180" s="1541">
        <v>30038788</v>
      </c>
      <c r="L180" s="1541">
        <v>10464613.300000001</v>
      </c>
      <c r="M180" s="1893">
        <f>19574174.7-1100000</f>
        <v>18474174.699999999</v>
      </c>
    </row>
    <row r="181" spans="1:13" x14ac:dyDescent="0.3">
      <c r="A181" t="s">
        <v>3638</v>
      </c>
      <c r="M181" s="1857">
        <v>557765</v>
      </c>
    </row>
    <row r="182" spans="1:13" x14ac:dyDescent="0.3">
      <c r="M182" s="1857">
        <f>SUM(M96:M181)</f>
        <v>111772453.63000001</v>
      </c>
    </row>
    <row r="184" spans="1:13" x14ac:dyDescent="0.3">
      <c r="M184" s="1857">
        <f>M93</f>
        <v>-11990775.770000001</v>
      </c>
    </row>
  </sheetData>
  <mergeCells count="3">
    <mergeCell ref="B1:E1"/>
    <mergeCell ref="F1:I1"/>
    <mergeCell ref="J1:M1"/>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view="pageBreakPreview" zoomScaleSheetLayoutView="100" workbookViewId="0">
      <selection activeCell="J13" sqref="J13"/>
    </sheetView>
  </sheetViews>
  <sheetFormatPr defaultRowHeight="14.4" x14ac:dyDescent="0.3"/>
  <cols>
    <col min="1" max="1" width="3.88671875" bestFit="1" customWidth="1"/>
    <col min="2" max="2" width="23.88671875" bestFit="1" customWidth="1"/>
    <col min="3" max="3" width="14.44140625" customWidth="1"/>
    <col min="4" max="4" width="12.33203125" customWidth="1"/>
    <col min="5" max="5" width="15.109375" bestFit="1" customWidth="1"/>
    <col min="6" max="6" width="14.109375" customWidth="1"/>
    <col min="7" max="7" width="22.88671875" bestFit="1" customWidth="1"/>
    <col min="8" max="8" width="14.88671875" customWidth="1"/>
  </cols>
  <sheetData>
    <row r="1" spans="1:8" x14ac:dyDescent="0.3">
      <c r="A1" s="2088" t="s">
        <v>212</v>
      </c>
      <c r="B1" s="2088"/>
      <c r="C1" s="2088"/>
      <c r="D1" s="2088"/>
      <c r="E1" s="2088"/>
      <c r="F1" s="2088"/>
      <c r="G1" s="2088"/>
      <c r="H1" s="2088"/>
    </row>
    <row r="2" spans="1:8" x14ac:dyDescent="0.3">
      <c r="A2" s="2088" t="s">
        <v>340</v>
      </c>
      <c r="B2" s="2088"/>
      <c r="C2" s="2088"/>
      <c r="D2" s="2088"/>
      <c r="E2" s="2088"/>
      <c r="F2" s="2088"/>
      <c r="G2" s="2088"/>
      <c r="H2" s="2088"/>
    </row>
    <row r="3" spans="1:8" ht="15.6" x14ac:dyDescent="0.3">
      <c r="A3" s="2083" t="s">
        <v>585</v>
      </c>
      <c r="B3" s="2083"/>
      <c r="C3" s="2083"/>
      <c r="D3" s="2083"/>
      <c r="E3" s="2083"/>
      <c r="F3" s="2083"/>
      <c r="G3" s="2083"/>
      <c r="H3" s="2083"/>
    </row>
    <row r="4" spans="1:8" ht="15.6" x14ac:dyDescent="0.3">
      <c r="A4" s="23"/>
      <c r="B4" s="23"/>
      <c r="C4" s="23"/>
      <c r="D4" s="23"/>
      <c r="E4" s="23"/>
      <c r="F4" s="23"/>
      <c r="G4" s="23"/>
      <c r="H4" s="23"/>
    </row>
    <row r="5" spans="1:8" ht="15.6" x14ac:dyDescent="0.3">
      <c r="A5" s="70"/>
      <c r="B5" s="24" t="s">
        <v>249</v>
      </c>
      <c r="C5" s="23"/>
      <c r="D5" s="23"/>
      <c r="E5" s="23"/>
      <c r="F5" s="23"/>
      <c r="G5" s="23"/>
      <c r="H5" s="23"/>
    </row>
    <row r="6" spans="1:8" ht="15.6" x14ac:dyDescent="0.3">
      <c r="A6" s="23"/>
      <c r="B6" s="71" t="s">
        <v>311</v>
      </c>
      <c r="C6" s="2048" t="s">
        <v>218</v>
      </c>
      <c r="D6" s="2049"/>
      <c r="E6" s="2049"/>
      <c r="F6" s="2050"/>
      <c r="G6" s="205"/>
      <c r="H6" s="28" t="s">
        <v>219</v>
      </c>
    </row>
    <row r="7" spans="1:8" ht="15.6" x14ac:dyDescent="0.3">
      <c r="A7" s="23"/>
      <c r="B7" s="72"/>
      <c r="C7" s="32" t="s">
        <v>216</v>
      </c>
      <c r="D7" s="24" t="s">
        <v>312</v>
      </c>
      <c r="E7" s="32" t="s">
        <v>313</v>
      </c>
      <c r="F7" s="27" t="s">
        <v>213</v>
      </c>
      <c r="G7" s="27" t="s">
        <v>556</v>
      </c>
      <c r="H7" s="32" t="s">
        <v>315</v>
      </c>
    </row>
    <row r="8" spans="1:8" ht="15.6" x14ac:dyDescent="0.3">
      <c r="A8" s="23"/>
      <c r="B8" s="74"/>
      <c r="C8" s="75">
        <v>43191</v>
      </c>
      <c r="D8" s="76"/>
      <c r="E8" s="77" t="s">
        <v>316</v>
      </c>
      <c r="F8" s="77"/>
      <c r="G8" s="77" t="s">
        <v>317</v>
      </c>
      <c r="H8" s="75">
        <v>43555</v>
      </c>
    </row>
    <row r="9" spans="1:8" ht="15.6" x14ac:dyDescent="0.3">
      <c r="A9" s="23"/>
      <c r="B9" s="81"/>
      <c r="C9" s="82"/>
      <c r="D9" s="23"/>
      <c r="E9" s="82"/>
      <c r="F9" s="82"/>
      <c r="G9" s="82"/>
      <c r="H9" s="82"/>
    </row>
    <row r="10" spans="1:8" ht="15.6" x14ac:dyDescent="0.3">
      <c r="A10" s="23"/>
      <c r="B10" s="81" t="s">
        <v>318</v>
      </c>
      <c r="C10" s="49">
        <v>79050000</v>
      </c>
      <c r="D10" s="83">
        <v>0</v>
      </c>
      <c r="E10" s="49">
        <v>0</v>
      </c>
      <c r="F10" s="49">
        <f>C10+D10-E10</f>
        <v>79050000</v>
      </c>
      <c r="G10" s="49">
        <v>0</v>
      </c>
      <c r="H10" s="49">
        <f>F10-G10</f>
        <v>79050000</v>
      </c>
    </row>
    <row r="11" spans="1:8" ht="15.6" x14ac:dyDescent="0.3">
      <c r="A11" s="23"/>
      <c r="B11" s="81" t="s">
        <v>319</v>
      </c>
      <c r="C11" s="49">
        <v>22021739.100000001</v>
      </c>
      <c r="D11" s="83">
        <v>0</v>
      </c>
      <c r="E11" s="49">
        <v>0</v>
      </c>
      <c r="F11" s="49">
        <f t="shared" ref="F11:F18" si="0">C11+D11-E11</f>
        <v>22021739.100000001</v>
      </c>
      <c r="G11" s="162">
        <f>F11*10%</f>
        <v>2202173.91</v>
      </c>
      <c r="H11" s="49">
        <f t="shared" ref="H11:H18" si="1">F11-G11</f>
        <v>19819565.190000001</v>
      </c>
    </row>
    <row r="12" spans="1:8" ht="15.6" x14ac:dyDescent="0.3">
      <c r="A12" s="23"/>
      <c r="B12" s="81" t="s">
        <v>320</v>
      </c>
      <c r="C12" s="49">
        <v>36368898</v>
      </c>
      <c r="D12" s="83">
        <v>0</v>
      </c>
      <c r="E12" s="49">
        <v>0</v>
      </c>
      <c r="F12" s="49">
        <f t="shared" si="0"/>
        <v>36368898</v>
      </c>
      <c r="G12" s="162">
        <f>F12*15%</f>
        <v>5455334.7000000002</v>
      </c>
      <c r="H12" s="49">
        <f t="shared" si="1"/>
        <v>30913563.300000001</v>
      </c>
    </row>
    <row r="13" spans="1:8" ht="15.6" x14ac:dyDescent="0.3">
      <c r="A13" s="23"/>
      <c r="B13" s="81" t="s">
        <v>321</v>
      </c>
      <c r="C13" s="49">
        <v>3187114.2</v>
      </c>
      <c r="D13" s="83">
        <v>0</v>
      </c>
      <c r="E13" s="49">
        <v>0</v>
      </c>
      <c r="F13" s="49">
        <f t="shared" si="0"/>
        <v>3187114.2</v>
      </c>
      <c r="G13" s="162">
        <f>F13*15%</f>
        <v>478067.13</v>
      </c>
      <c r="H13" s="49">
        <f t="shared" si="1"/>
        <v>2709047.0700000003</v>
      </c>
    </row>
    <row r="14" spans="1:8" ht="15.6" x14ac:dyDescent="0.3">
      <c r="A14" s="23"/>
      <c r="B14" s="81" t="s">
        <v>322</v>
      </c>
      <c r="C14" s="49">
        <v>2163460.5</v>
      </c>
      <c r="D14" s="83">
        <v>0</v>
      </c>
      <c r="E14" s="49">
        <v>0</v>
      </c>
      <c r="F14" s="49">
        <f t="shared" si="0"/>
        <v>2163460.5</v>
      </c>
      <c r="G14" s="162">
        <f>F14*15%</f>
        <v>324519.07500000001</v>
      </c>
      <c r="H14" s="49">
        <f t="shared" si="1"/>
        <v>1838941.425</v>
      </c>
    </row>
    <row r="15" spans="1:8" ht="15.6" x14ac:dyDescent="0.3">
      <c r="A15" s="23"/>
      <c r="B15" s="81" t="s">
        <v>323</v>
      </c>
      <c r="C15" s="49">
        <v>21985.200000000004</v>
      </c>
      <c r="D15" s="83">
        <v>0</v>
      </c>
      <c r="E15" s="49">
        <v>0</v>
      </c>
      <c r="F15" s="49">
        <f t="shared" si="0"/>
        <v>21985.200000000004</v>
      </c>
      <c r="G15" s="162">
        <f>F15*40%</f>
        <v>8794.0800000000017</v>
      </c>
      <c r="H15" s="49">
        <f t="shared" si="1"/>
        <v>13191.120000000003</v>
      </c>
    </row>
    <row r="16" spans="1:8" ht="15.6" x14ac:dyDescent="0.3">
      <c r="A16" s="23"/>
      <c r="B16" s="81" t="s">
        <v>325</v>
      </c>
      <c r="C16" s="49">
        <v>820985.4</v>
      </c>
      <c r="D16" s="83">
        <v>0</v>
      </c>
      <c r="E16" s="49">
        <v>0</v>
      </c>
      <c r="F16" s="49">
        <f t="shared" si="0"/>
        <v>820985.4</v>
      </c>
      <c r="G16" s="162">
        <f>F16*10%</f>
        <v>82098.540000000008</v>
      </c>
      <c r="H16" s="49">
        <f t="shared" si="1"/>
        <v>738886.86</v>
      </c>
    </row>
    <row r="17" spans="1:8" ht="15.6" x14ac:dyDescent="0.3">
      <c r="A17" s="23"/>
      <c r="B17" s="81" t="s">
        <v>326</v>
      </c>
      <c r="C17" s="49">
        <v>335100.59999999998</v>
      </c>
      <c r="D17" s="83">
        <v>0</v>
      </c>
      <c r="E17" s="49">
        <v>0</v>
      </c>
      <c r="F17" s="49">
        <f t="shared" si="0"/>
        <v>335100.59999999998</v>
      </c>
      <c r="G17" s="162">
        <f t="shared" ref="G17" si="2">F17*15%</f>
        <v>50265.09</v>
      </c>
      <c r="H17" s="49">
        <f t="shared" si="1"/>
        <v>284835.51</v>
      </c>
    </row>
    <row r="18" spans="1:8" ht="15.6" x14ac:dyDescent="0.3">
      <c r="A18" s="23"/>
      <c r="B18" s="81" t="s">
        <v>557</v>
      </c>
      <c r="C18" s="49">
        <v>153425.70000000001</v>
      </c>
      <c r="D18" s="83">
        <v>0</v>
      </c>
      <c r="E18" s="49">
        <v>0</v>
      </c>
      <c r="F18" s="49">
        <f t="shared" si="0"/>
        <v>153425.70000000001</v>
      </c>
      <c r="G18" s="162">
        <f>F18*15%</f>
        <v>23013.855</v>
      </c>
      <c r="H18" s="49">
        <f t="shared" si="1"/>
        <v>130411.84500000002</v>
      </c>
    </row>
    <row r="19" spans="1:8" ht="15.6" x14ac:dyDescent="0.3">
      <c r="A19" s="23"/>
      <c r="B19" s="81"/>
      <c r="C19" s="49"/>
      <c r="D19" s="83"/>
      <c r="E19" s="49"/>
      <c r="F19" s="206"/>
      <c r="G19" s="206"/>
      <c r="H19" s="207"/>
    </row>
    <row r="20" spans="1:8" ht="15.6" x14ac:dyDescent="0.3">
      <c r="A20" s="23"/>
      <c r="B20" s="84" t="s">
        <v>213</v>
      </c>
      <c r="C20" s="85">
        <f>SUM(C10:C19)</f>
        <v>144122708.69999996</v>
      </c>
      <c r="D20" s="86">
        <f>SUM(D10:D18)</f>
        <v>0</v>
      </c>
      <c r="E20" s="85">
        <f>SUM(E10:E18)</f>
        <v>0</v>
      </c>
      <c r="F20" s="86">
        <f t="shared" ref="F20:H20" si="3">SUM(F10:F17)</f>
        <v>143969282.99999997</v>
      </c>
      <c r="G20" s="86">
        <f t="shared" si="3"/>
        <v>8601252.5249999985</v>
      </c>
      <c r="H20" s="87">
        <f t="shared" si="3"/>
        <v>135368030.47500002</v>
      </c>
    </row>
  </sheetData>
  <mergeCells count="4">
    <mergeCell ref="A3:H3"/>
    <mergeCell ref="C6:F6"/>
    <mergeCell ref="A1:H1"/>
    <mergeCell ref="A2:H2"/>
  </mergeCells>
  <pageMargins left="0.7" right="0.7" top="0.75" bottom="0.75" header="0.3" footer="0.3"/>
  <pageSetup paperSize="9" scale="91"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209"/>
  <sheetViews>
    <sheetView topLeftCell="A91" workbookViewId="0">
      <selection activeCell="A106" sqref="A106"/>
    </sheetView>
  </sheetViews>
  <sheetFormatPr defaultColWidth="9.109375" defaultRowHeight="14.4" x14ac:dyDescent="0.3"/>
  <cols>
    <col min="1" max="1" width="56.5546875" style="2" bestFit="1" customWidth="1"/>
    <col min="2" max="2" width="18.44140625" style="14" customWidth="1"/>
    <col min="3" max="3" width="16.88671875" style="14" bestFit="1" customWidth="1"/>
    <col min="4" max="4" width="9.109375" style="2"/>
    <col min="5" max="5" width="21" style="2" customWidth="1"/>
    <col min="6" max="6" width="38.6640625" style="2" bestFit="1" customWidth="1"/>
    <col min="7" max="7" width="13.33203125" style="14" customWidth="1"/>
    <col min="8" max="8" width="12.109375" style="14" customWidth="1"/>
    <col min="9" max="9" width="10" style="2" bestFit="1" customWidth="1"/>
    <col min="10" max="10" width="9.109375" style="2"/>
    <col min="11" max="11" width="10" style="2" bestFit="1" customWidth="1"/>
    <col min="12" max="12" width="13.109375" style="2" customWidth="1"/>
    <col min="13" max="13" width="14" style="2" customWidth="1"/>
    <col min="14" max="16384" width="9.109375" style="2"/>
  </cols>
  <sheetData>
    <row r="3" spans="1:13" x14ac:dyDescent="0.3">
      <c r="A3" s="3" t="s">
        <v>1287</v>
      </c>
      <c r="B3" s="15"/>
      <c r="C3" s="15"/>
    </row>
    <row r="4" spans="1:13" x14ac:dyDescent="0.3">
      <c r="A4" s="4" t="s">
        <v>232</v>
      </c>
      <c r="B4" s="16" t="s">
        <v>233</v>
      </c>
      <c r="C4" s="17" t="s">
        <v>233</v>
      </c>
    </row>
    <row r="5" spans="1:13" x14ac:dyDescent="0.3">
      <c r="A5" s="5" t="s">
        <v>2</v>
      </c>
      <c r="B5" s="170"/>
      <c r="C5" s="273">
        <f>+'TB-Export'!C50+'TB-Export'!C51</f>
        <v>4605126</v>
      </c>
    </row>
    <row r="6" spans="1:13" x14ac:dyDescent="0.3">
      <c r="A6" t="s">
        <v>328</v>
      </c>
      <c r="B6" s="18"/>
      <c r="C6" s="271">
        <f>+'TB-Export'!C25-C7-B164</f>
        <v>157331699.14999998</v>
      </c>
    </row>
    <row r="7" spans="1:13" x14ac:dyDescent="0.3">
      <c r="A7" t="s">
        <v>3</v>
      </c>
      <c r="B7" s="18"/>
      <c r="C7" s="271">
        <f>+'TB-Export'!C26</f>
        <v>13953173.67</v>
      </c>
    </row>
    <row r="8" spans="1:13" x14ac:dyDescent="0.3">
      <c r="A8" s="6" t="s">
        <v>4</v>
      </c>
      <c r="B8" s="18">
        <f>+'TB-Export'!B11+265298848-C165-C166-C167+B189+1600000+38580</f>
        <v>340247741.50999999</v>
      </c>
      <c r="C8" s="19"/>
      <c r="G8" s="203">
        <v>5131101</v>
      </c>
    </row>
    <row r="9" spans="1:13" x14ac:dyDescent="0.3">
      <c r="A9" s="6" t="s">
        <v>5</v>
      </c>
      <c r="B9" s="18"/>
      <c r="C9" s="19">
        <f>+'TB-Export'!C20+C161</f>
        <v>274581213</v>
      </c>
      <c r="E9" s="179" t="s">
        <v>211</v>
      </c>
    </row>
    <row r="10" spans="1:13" x14ac:dyDescent="0.3">
      <c r="A10" s="6" t="s">
        <v>6</v>
      </c>
      <c r="B10" s="18"/>
      <c r="C10" s="19">
        <f>+'TB-Export'!C24</f>
        <v>148607000</v>
      </c>
    </row>
    <row r="11" spans="1:13" x14ac:dyDescent="0.3">
      <c r="A11" s="7" t="s">
        <v>7</v>
      </c>
      <c r="B11" s="18"/>
      <c r="C11" s="19">
        <f>+'TB-Export'!C23</f>
        <v>77001003</v>
      </c>
      <c r="G11" s="14" t="s">
        <v>1294</v>
      </c>
      <c r="H11" s="277" t="s">
        <v>1295</v>
      </c>
    </row>
    <row r="12" spans="1:13" x14ac:dyDescent="0.3">
      <c r="A12" s="6" t="s">
        <v>8</v>
      </c>
      <c r="B12" s="18"/>
      <c r="C12" s="19"/>
    </row>
    <row r="13" spans="1:13" x14ac:dyDescent="0.3">
      <c r="A13" s="6" t="s">
        <v>9</v>
      </c>
      <c r="B13" s="270">
        <f>+H13</f>
        <v>7516800</v>
      </c>
      <c r="C13" s="19"/>
      <c r="F13" s="6" t="s">
        <v>9</v>
      </c>
      <c r="G13" s="203">
        <v>3403484</v>
      </c>
      <c r="H13" s="203">
        <f>5516800+1000000+1000000</f>
        <v>7516800</v>
      </c>
      <c r="L13" s="268" t="s">
        <v>211</v>
      </c>
      <c r="M13" s="268" t="s">
        <v>211</v>
      </c>
    </row>
    <row r="14" spans="1:13" x14ac:dyDescent="0.3">
      <c r="A14" s="6" t="s">
        <v>10</v>
      </c>
      <c r="B14" s="270">
        <f>+H14</f>
        <v>6459699</v>
      </c>
      <c r="C14" s="19"/>
      <c r="F14" s="6" t="s">
        <v>10</v>
      </c>
      <c r="G14" s="203">
        <v>5131101</v>
      </c>
      <c r="H14" s="203">
        <f>4459699+2000000</f>
        <v>6459699</v>
      </c>
      <c r="L14" s="269" t="s">
        <v>211</v>
      </c>
      <c r="M14" s="269" t="s">
        <v>211</v>
      </c>
    </row>
    <row r="15" spans="1:13" x14ac:dyDescent="0.3">
      <c r="A15" s="6" t="s">
        <v>11</v>
      </c>
      <c r="B15" s="270">
        <f>+H15</f>
        <v>9203852</v>
      </c>
      <c r="C15" s="19"/>
      <c r="F15" s="6" t="s">
        <v>11</v>
      </c>
      <c r="G15" s="203">
        <v>6560286</v>
      </c>
      <c r="H15" s="203">
        <f>5203852+3000000+1000000</f>
        <v>9203852</v>
      </c>
      <c r="J15" s="2">
        <f>+G15-H15</f>
        <v>-2643566</v>
      </c>
      <c r="L15" s="269" t="s">
        <v>211</v>
      </c>
      <c r="M15" s="269" t="s">
        <v>211</v>
      </c>
    </row>
    <row r="16" spans="1:13" x14ac:dyDescent="0.3">
      <c r="A16" s="6" t="s">
        <v>12</v>
      </c>
      <c r="B16" s="270">
        <f>+H16</f>
        <v>13666074</v>
      </c>
      <c r="C16" s="19"/>
      <c r="F16" s="6" t="s">
        <v>12</v>
      </c>
      <c r="G16" s="203">
        <v>12380247</v>
      </c>
      <c r="H16" s="203">
        <v>13666074</v>
      </c>
      <c r="J16" s="2">
        <f>+G16-H16</f>
        <v>-1285827</v>
      </c>
      <c r="L16" s="269" t="s">
        <v>211</v>
      </c>
      <c r="M16" s="269" t="s">
        <v>211</v>
      </c>
    </row>
    <row r="17" spans="1:13" x14ac:dyDescent="0.3">
      <c r="A17" s="6" t="s">
        <v>13</v>
      </c>
      <c r="B17" s="270">
        <f>+H17</f>
        <v>280045</v>
      </c>
      <c r="C17" s="19"/>
      <c r="F17" s="6" t="s">
        <v>13</v>
      </c>
      <c r="G17" s="203">
        <v>257980</v>
      </c>
      <c r="H17" s="203">
        <v>280045</v>
      </c>
      <c r="L17" s="269" t="s">
        <v>211</v>
      </c>
      <c r="M17" s="269" t="s">
        <v>211</v>
      </c>
    </row>
    <row r="18" spans="1:13" x14ac:dyDescent="0.3">
      <c r="A18" s="6" t="s">
        <v>14</v>
      </c>
      <c r="B18" s="270">
        <f>+sundrydebtors!B93</f>
        <v>5010221.7100000009</v>
      </c>
      <c r="C18" s="19"/>
      <c r="L18" s="269" t="s">
        <v>211</v>
      </c>
    </row>
    <row r="19" spans="1:13" x14ac:dyDescent="0.3">
      <c r="A19" t="s">
        <v>335</v>
      </c>
      <c r="B19" s="270">
        <f>+'TB-Export'!B43</f>
        <v>632.47</v>
      </c>
      <c r="C19" s="19"/>
      <c r="F19" s="8"/>
    </row>
    <row r="20" spans="1:13" x14ac:dyDescent="0.3">
      <c r="A20" s="6" t="s">
        <v>134</v>
      </c>
      <c r="B20" s="270">
        <f>+'TB-Export'!B48</f>
        <v>10454.35</v>
      </c>
      <c r="C20" s="19"/>
      <c r="F20" s="8"/>
      <c r="G20" s="14">
        <f>SUM(G13:G19)</f>
        <v>27733098</v>
      </c>
      <c r="H20" s="14">
        <f>SUM(H13:H19)</f>
        <v>37126470</v>
      </c>
    </row>
    <row r="21" spans="1:13" x14ac:dyDescent="0.3">
      <c r="A21" s="6" t="s">
        <v>339</v>
      </c>
      <c r="B21" s="270">
        <f>+'TB-Export'!B46</f>
        <v>53923.74</v>
      </c>
      <c r="C21" s="19" t="s">
        <v>211</v>
      </c>
      <c r="E21" s="2">
        <v>802966</v>
      </c>
      <c r="F21" s="8"/>
    </row>
    <row r="22" spans="1:13" x14ac:dyDescent="0.3">
      <c r="A22" s="6" t="s">
        <v>494</v>
      </c>
      <c r="B22" s="270">
        <f>-'TB-Export'!C70</f>
        <v>-25544</v>
      </c>
      <c r="C22" s="19"/>
      <c r="F22" s="8"/>
      <c r="H22" s="14" t="s">
        <v>211</v>
      </c>
    </row>
    <row r="23" spans="1:13" x14ac:dyDescent="0.3">
      <c r="A23" s="6" t="s">
        <v>135</v>
      </c>
      <c r="B23" s="270">
        <f>+'TB-Export'!B49-'TB-Export'!C53</f>
        <v>-78017.820000000007</v>
      </c>
      <c r="C23" s="19"/>
      <c r="F23" s="8"/>
    </row>
    <row r="24" spans="1:13" x14ac:dyDescent="0.3">
      <c r="A24" s="6" t="s">
        <v>136</v>
      </c>
      <c r="B24" s="270">
        <f>+'TB-Export'!B47</f>
        <v>78511</v>
      </c>
      <c r="C24" s="19"/>
      <c r="F24" s="8"/>
    </row>
    <row r="25" spans="1:13" x14ac:dyDescent="0.3">
      <c r="A25" s="6" t="s">
        <v>244</v>
      </c>
      <c r="B25" s="270">
        <f>+'TB-Export'!B52</f>
        <v>24911</v>
      </c>
      <c r="C25" s="19"/>
      <c r="F25" s="8" t="s">
        <v>211</v>
      </c>
      <c r="G25" s="14" t="s">
        <v>211</v>
      </c>
    </row>
    <row r="26" spans="1:13" x14ac:dyDescent="0.3">
      <c r="A26" s="6" t="s">
        <v>1288</v>
      </c>
      <c r="B26" s="270">
        <f>+'TB-Export'!B45</f>
        <v>5500</v>
      </c>
      <c r="C26" s="19"/>
      <c r="F26" s="8"/>
    </row>
    <row r="27" spans="1:13" x14ac:dyDescent="0.3">
      <c r="A27" s="6" t="s">
        <v>137</v>
      </c>
      <c r="B27" s="270">
        <f>+'TB-Export'!B42</f>
        <v>4762.67</v>
      </c>
      <c r="C27" s="19"/>
      <c r="F27" s="2" t="s">
        <v>211</v>
      </c>
      <c r="G27" s="14" t="s">
        <v>211</v>
      </c>
    </row>
    <row r="28" spans="1:13" x14ac:dyDescent="0.3">
      <c r="A28" s="6" t="s">
        <v>138</v>
      </c>
      <c r="B28" s="18"/>
      <c r="C28" s="19"/>
    </row>
    <row r="29" spans="1:13" x14ac:dyDescent="0.3">
      <c r="A29" s="6" t="s">
        <v>330</v>
      </c>
      <c r="B29" s="270">
        <f>+'TB-Export'!B58</f>
        <v>3359223</v>
      </c>
      <c r="C29" s="19"/>
      <c r="G29" s="14" t="s">
        <v>211</v>
      </c>
    </row>
    <row r="30" spans="1:13" x14ac:dyDescent="0.3">
      <c r="A30" s="6" t="s">
        <v>139</v>
      </c>
      <c r="B30" s="270">
        <f>+'TB-Export'!B57</f>
        <v>338020</v>
      </c>
      <c r="C30" s="19"/>
    </row>
    <row r="31" spans="1:13" x14ac:dyDescent="0.3">
      <c r="A31" s="6" t="s">
        <v>140</v>
      </c>
      <c r="B31" s="270">
        <f>+'TB-Export'!B60+17765</f>
        <v>58130.35</v>
      </c>
      <c r="C31" s="19"/>
    </row>
    <row r="32" spans="1:13" x14ac:dyDescent="0.3">
      <c r="A32" s="6" t="s">
        <v>141</v>
      </c>
      <c r="B32" s="270">
        <f>+'TB-Export'!B65</f>
        <v>6339337</v>
      </c>
      <c r="C32" s="19"/>
    </row>
    <row r="33" spans="1:7" x14ac:dyDescent="0.3">
      <c r="A33" s="6" t="s">
        <v>1179</v>
      </c>
      <c r="B33" s="18">
        <f>+sundrydebtors!B94</f>
        <v>14349200</v>
      </c>
      <c r="C33" s="19"/>
      <c r="F33"/>
      <c r="G33" s="178"/>
    </row>
    <row r="34" spans="1:7" x14ac:dyDescent="0.3">
      <c r="A34" s="6" t="s">
        <v>142</v>
      </c>
      <c r="B34" s="18"/>
      <c r="C34" s="271">
        <f>+'TB-Export'!C61+'TB-Export'!C62-'TB-Export'!B63+'TB-Export'!C64-'TB-Export'!B66+'TB-Export'!C67-'TB-Export'!B68+'TB-Export'!C69-'TB-Export'!B75-'TB-Export'!B89</f>
        <v>-860610.77</v>
      </c>
      <c r="F34"/>
      <c r="G34" s="178"/>
    </row>
    <row r="35" spans="1:7" x14ac:dyDescent="0.3">
      <c r="A35" s="6"/>
      <c r="B35" s="18"/>
      <c r="C35" s="19"/>
      <c r="F35"/>
      <c r="G35" s="178"/>
    </row>
    <row r="36" spans="1:7" x14ac:dyDescent="0.3">
      <c r="A36" s="6" t="s">
        <v>143</v>
      </c>
      <c r="B36" s="18"/>
      <c r="C36" s="19"/>
    </row>
    <row r="37" spans="1:7" x14ac:dyDescent="0.3">
      <c r="A37" s="6" t="s">
        <v>144</v>
      </c>
      <c r="B37" s="18"/>
      <c r="C37" s="19"/>
    </row>
    <row r="38" spans="1:7" x14ac:dyDescent="0.3">
      <c r="A38" s="6" t="s">
        <v>145</v>
      </c>
      <c r="B38" s="270">
        <f>+'TB-Export'!B56+B203+B204+B208</f>
        <v>598755.5</v>
      </c>
      <c r="C38" s="19"/>
      <c r="D38" s="8" t="s">
        <v>211</v>
      </c>
    </row>
    <row r="39" spans="1:7" x14ac:dyDescent="0.3">
      <c r="A39" s="6" t="s">
        <v>146</v>
      </c>
      <c r="B39" s="18"/>
      <c r="C39" s="271">
        <f>+'TB-Export'!C100</f>
        <v>620680</v>
      </c>
      <c r="G39" s="278"/>
    </row>
    <row r="40" spans="1:7" x14ac:dyDescent="0.3">
      <c r="A40" s="6" t="s">
        <v>698</v>
      </c>
      <c r="B40" s="18"/>
      <c r="C40" s="271">
        <f>+'TB-Export'!C95</f>
        <v>864516.2</v>
      </c>
    </row>
    <row r="41" spans="1:7" x14ac:dyDescent="0.3">
      <c r="A41" s="6" t="s">
        <v>147</v>
      </c>
      <c r="B41" s="18"/>
      <c r="C41" s="271">
        <f>+'TB-Export'!C96+'TB-Export'!C99</f>
        <v>149963.37</v>
      </c>
      <c r="F41" s="8"/>
    </row>
    <row r="42" spans="1:7" x14ac:dyDescent="0.3">
      <c r="A42" s="6" t="s">
        <v>148</v>
      </c>
      <c r="B42" s="18"/>
      <c r="C42" s="271">
        <f>+'TB-Export'!C98</f>
        <v>64491</v>
      </c>
    </row>
    <row r="43" spans="1:7" x14ac:dyDescent="0.3">
      <c r="A43" s="6" t="s">
        <v>149</v>
      </c>
      <c r="B43" s="18"/>
      <c r="C43" s="19"/>
    </row>
    <row r="44" spans="1:7" x14ac:dyDescent="0.3">
      <c r="A44" s="6" t="s">
        <v>150</v>
      </c>
      <c r="B44" s="18"/>
      <c r="C44" s="271">
        <v>0</v>
      </c>
    </row>
    <row r="45" spans="1:7" x14ac:dyDescent="0.3">
      <c r="A45" s="6" t="s">
        <v>151</v>
      </c>
      <c r="B45" s="18"/>
      <c r="C45" s="271">
        <f>+'TB-Export'!C114</f>
        <v>49265.4</v>
      </c>
    </row>
    <row r="46" spans="1:7" x14ac:dyDescent="0.3">
      <c r="A46" s="6" t="s">
        <v>152</v>
      </c>
      <c r="B46" s="18"/>
      <c r="C46" s="271">
        <f>+'TB-Export'!C102</f>
        <v>926262.85</v>
      </c>
    </row>
    <row r="47" spans="1:7" x14ac:dyDescent="0.3">
      <c r="A47" s="6" t="s">
        <v>153</v>
      </c>
      <c r="B47" s="18"/>
      <c r="C47" s="271">
        <v>0</v>
      </c>
    </row>
    <row r="48" spans="1:7" x14ac:dyDescent="0.3">
      <c r="A48" s="6" t="s">
        <v>154</v>
      </c>
      <c r="B48" s="18"/>
      <c r="C48" s="271">
        <f>+'TB-Export'!C101</f>
        <v>2046508.23</v>
      </c>
      <c r="E48" s="2" t="s">
        <v>211</v>
      </c>
    </row>
    <row r="49" spans="1:8" x14ac:dyDescent="0.3">
      <c r="A49" s="6" t="s">
        <v>155</v>
      </c>
      <c r="B49" s="18"/>
      <c r="C49" s="271">
        <f>+'TB-Export'!C103</f>
        <v>2338556</v>
      </c>
      <c r="D49" s="2" t="s">
        <v>211</v>
      </c>
      <c r="E49" s="2" t="s">
        <v>211</v>
      </c>
      <c r="G49" s="278"/>
    </row>
    <row r="50" spans="1:8" x14ac:dyDescent="0.3">
      <c r="A50" s="6" t="s">
        <v>156</v>
      </c>
      <c r="B50" s="18"/>
      <c r="C50" s="271">
        <f>+'TB-Export'!C110</f>
        <v>286733</v>
      </c>
    </row>
    <row r="51" spans="1:8" x14ac:dyDescent="0.3">
      <c r="A51" s="6" t="s">
        <v>157</v>
      </c>
      <c r="B51" s="18"/>
      <c r="C51" s="271">
        <f>+'TB-Export'!C116</f>
        <v>298724</v>
      </c>
      <c r="G51" s="278"/>
    </row>
    <row r="52" spans="1:8" x14ac:dyDescent="0.3">
      <c r="A52" s="6" t="s">
        <v>158</v>
      </c>
      <c r="B52" s="18"/>
      <c r="C52" s="271">
        <f>+'TB-Export'!C113</f>
        <v>525601</v>
      </c>
    </row>
    <row r="53" spans="1:8" x14ac:dyDescent="0.3">
      <c r="A53" s="6" t="s">
        <v>159</v>
      </c>
      <c r="B53" s="18"/>
      <c r="C53" s="271">
        <f>+'TB-Export'!C111</f>
        <v>2953770</v>
      </c>
    </row>
    <row r="54" spans="1:8" x14ac:dyDescent="0.3">
      <c r="A54" s="6" t="s">
        <v>160</v>
      </c>
      <c r="B54" s="18"/>
      <c r="C54" s="271">
        <f>+C180</f>
        <v>1500000</v>
      </c>
      <c r="H54" s="14" t="s">
        <v>211</v>
      </c>
    </row>
    <row r="55" spans="1:8" x14ac:dyDescent="0.3">
      <c r="A55" s="6" t="s">
        <v>161</v>
      </c>
      <c r="B55" s="18"/>
      <c r="C55" s="19"/>
    </row>
    <row r="56" spans="1:8" x14ac:dyDescent="0.3">
      <c r="A56" s="6" t="s">
        <v>162</v>
      </c>
      <c r="B56" s="18"/>
      <c r="C56" s="271">
        <f>+'TB-Export'!C92+C183</f>
        <v>6798421</v>
      </c>
    </row>
    <row r="57" spans="1:8" x14ac:dyDescent="0.3">
      <c r="A57" s="6" t="s">
        <v>163</v>
      </c>
      <c r="B57" s="18"/>
      <c r="C57" s="19"/>
      <c r="F57" s="8"/>
    </row>
    <row r="58" spans="1:8" x14ac:dyDescent="0.3">
      <c r="A58" s="6" t="s">
        <v>164</v>
      </c>
      <c r="B58" s="18"/>
      <c r="C58" s="271">
        <f>+'TB-Export'!C107</f>
        <v>3466468</v>
      </c>
    </row>
    <row r="59" spans="1:8" x14ac:dyDescent="0.3">
      <c r="A59" s="6" t="s">
        <v>165</v>
      </c>
      <c r="B59" s="18"/>
      <c r="C59" s="271">
        <f>+'TB-Export'!C94</f>
        <v>48386.8</v>
      </c>
    </row>
    <row r="60" spans="1:8" x14ac:dyDescent="0.3">
      <c r="A60" s="6" t="s">
        <v>166</v>
      </c>
      <c r="B60" s="18"/>
      <c r="C60" s="271">
        <f>+'TB-Export'!C112-B186-2023130</f>
        <v>0</v>
      </c>
      <c r="F60" t="s">
        <v>211</v>
      </c>
      <c r="G60" s="279" t="s">
        <v>211</v>
      </c>
    </row>
    <row r="61" spans="1:8" x14ac:dyDescent="0.3">
      <c r="A61" s="6" t="s">
        <v>167</v>
      </c>
      <c r="B61" s="18"/>
      <c r="C61" s="271">
        <f>+C176</f>
        <v>0</v>
      </c>
    </row>
    <row r="62" spans="1:8" x14ac:dyDescent="0.3">
      <c r="A62" s="6" t="s">
        <v>168</v>
      </c>
      <c r="B62" s="18"/>
      <c r="C62" s="271">
        <f>+'TB-Export'!C108</f>
        <v>800</v>
      </c>
    </row>
    <row r="63" spans="1:8" x14ac:dyDescent="0.3">
      <c r="A63" s="6" t="s">
        <v>169</v>
      </c>
      <c r="B63" s="18"/>
      <c r="C63" s="271">
        <f>+'TB-Export'!C109</f>
        <v>4269003</v>
      </c>
    </row>
    <row r="64" spans="1:8" x14ac:dyDescent="0.3">
      <c r="A64" s="6" t="s">
        <v>235</v>
      </c>
      <c r="B64" s="18"/>
      <c r="C64" s="271">
        <f>+'TB-Export'!C117+sundrydebtors!B95</f>
        <v>16231885.800000001</v>
      </c>
    </row>
    <row r="65" spans="1:3" x14ac:dyDescent="0.3">
      <c r="A65" s="6" t="s">
        <v>329</v>
      </c>
      <c r="B65" s="18"/>
      <c r="C65" s="271">
        <f>+'TB-Export'!C93</f>
        <v>130000</v>
      </c>
    </row>
    <row r="66" spans="1:3" x14ac:dyDescent="0.3">
      <c r="A66" s="6" t="s">
        <v>331</v>
      </c>
      <c r="B66" s="18"/>
      <c r="C66" s="19"/>
    </row>
    <row r="67" spans="1:3" x14ac:dyDescent="0.3">
      <c r="A67" s="6" t="s">
        <v>336</v>
      </c>
      <c r="B67" s="18"/>
      <c r="C67" s="271">
        <f>+'TB-Export'!C105</f>
        <v>840000</v>
      </c>
    </row>
    <row r="68" spans="1:3" x14ac:dyDescent="0.3">
      <c r="A68" s="6" t="s">
        <v>337</v>
      </c>
      <c r="B68" s="18"/>
      <c r="C68" s="271">
        <f>+'TB-Export'!C119</f>
        <v>3090202.05</v>
      </c>
    </row>
    <row r="69" spans="1:3" x14ac:dyDescent="0.3">
      <c r="A69" s="6" t="s">
        <v>1296</v>
      </c>
      <c r="B69" s="18"/>
      <c r="C69" s="19">
        <v>0</v>
      </c>
    </row>
    <row r="70" spans="1:3" x14ac:dyDescent="0.3">
      <c r="A70" s="6" t="s">
        <v>506</v>
      </c>
      <c r="B70" s="18"/>
      <c r="C70" s="19">
        <f>+'TB-Export'!C118</f>
        <v>14827628</v>
      </c>
    </row>
    <row r="71" spans="1:3" x14ac:dyDescent="0.3">
      <c r="A71" s="6" t="s">
        <v>705</v>
      </c>
      <c r="B71" s="18"/>
      <c r="C71" s="271">
        <f>+'TB-Export'!C115</f>
        <v>180000</v>
      </c>
    </row>
    <row r="72" spans="1:3" x14ac:dyDescent="0.3">
      <c r="A72" s="6" t="s">
        <v>171</v>
      </c>
      <c r="B72" s="18"/>
      <c r="C72" s="281">
        <f>+'TB-Export'!C9</f>
        <v>218055047.36000001</v>
      </c>
    </row>
    <row r="73" spans="1:3" x14ac:dyDescent="0.3">
      <c r="A73" s="6" t="s">
        <v>172</v>
      </c>
      <c r="B73" s="18"/>
      <c r="C73" s="19"/>
    </row>
    <row r="74" spans="1:3" x14ac:dyDescent="0.3">
      <c r="A74" s="6" t="s">
        <v>173</v>
      </c>
      <c r="B74" s="18"/>
      <c r="C74" s="19"/>
    </row>
    <row r="75" spans="1:3" x14ac:dyDescent="0.3">
      <c r="A75" s="6" t="s">
        <v>240</v>
      </c>
      <c r="B75" s="18"/>
      <c r="C75" s="19"/>
    </row>
    <row r="76" spans="1:3" x14ac:dyDescent="0.3">
      <c r="A76" s="6" t="s">
        <v>174</v>
      </c>
      <c r="B76" s="18"/>
      <c r="C76" s="271"/>
    </row>
    <row r="77" spans="1:3" x14ac:dyDescent="0.3">
      <c r="A77" s="6" t="s">
        <v>175</v>
      </c>
      <c r="B77" s="18"/>
      <c r="C77" s="19"/>
    </row>
    <row r="78" spans="1:3" x14ac:dyDescent="0.3">
      <c r="A78" s="6" t="s">
        <v>481</v>
      </c>
      <c r="B78" s="270">
        <f>+G14</f>
        <v>5131101</v>
      </c>
      <c r="C78" s="19"/>
    </row>
    <row r="79" spans="1:3" x14ac:dyDescent="0.3">
      <c r="A79" s="6" t="s">
        <v>482</v>
      </c>
      <c r="B79" s="18"/>
      <c r="C79" s="271">
        <f>+H14</f>
        <v>6459699</v>
      </c>
    </row>
    <row r="80" spans="1:3" x14ac:dyDescent="0.3">
      <c r="A80" s="6" t="s">
        <v>483</v>
      </c>
      <c r="B80" s="270">
        <f>+G13</f>
        <v>3403484</v>
      </c>
      <c r="C80" s="19"/>
    </row>
    <row r="81" spans="1:6" x14ac:dyDescent="0.3">
      <c r="A81" s="6" t="s">
        <v>484</v>
      </c>
      <c r="B81" s="18"/>
      <c r="C81" s="271">
        <f>+H13</f>
        <v>7516800</v>
      </c>
    </row>
    <row r="82" spans="1:6" x14ac:dyDescent="0.3">
      <c r="A82" s="6" t="s">
        <v>485</v>
      </c>
      <c r="B82" s="270">
        <f>+G17</f>
        <v>257980</v>
      </c>
      <c r="C82" s="19"/>
    </row>
    <row r="83" spans="1:6" x14ac:dyDescent="0.3">
      <c r="A83" s="6" t="s">
        <v>486</v>
      </c>
      <c r="B83" s="18"/>
      <c r="C83" s="271">
        <f>+H17</f>
        <v>280045</v>
      </c>
    </row>
    <row r="84" spans="1:6" x14ac:dyDescent="0.3">
      <c r="A84" s="6" t="s">
        <v>487</v>
      </c>
      <c r="B84" s="270">
        <f>+G15</f>
        <v>6560286</v>
      </c>
      <c r="C84" s="19"/>
    </row>
    <row r="85" spans="1:6" x14ac:dyDescent="0.3">
      <c r="A85" s="6" t="s">
        <v>488</v>
      </c>
      <c r="B85" s="18"/>
      <c r="C85" s="271">
        <f>+H15</f>
        <v>9203852</v>
      </c>
    </row>
    <row r="86" spans="1:6" x14ac:dyDescent="0.3">
      <c r="A86" s="6" t="s">
        <v>489</v>
      </c>
      <c r="B86" s="270">
        <f>+G16</f>
        <v>12380247</v>
      </c>
      <c r="C86" s="19"/>
    </row>
    <row r="87" spans="1:6" x14ac:dyDescent="0.3">
      <c r="A87" s="6" t="s">
        <v>490</v>
      </c>
      <c r="B87" s="18"/>
      <c r="C87" s="271">
        <f>+H16</f>
        <v>13666074</v>
      </c>
    </row>
    <row r="88" spans="1:6" x14ac:dyDescent="0.3">
      <c r="A88" s="6"/>
      <c r="B88" s="18"/>
      <c r="C88" s="19"/>
    </row>
    <row r="89" spans="1:6" x14ac:dyDescent="0.3">
      <c r="A89" s="6" t="s">
        <v>176</v>
      </c>
      <c r="B89" s="280">
        <f>+'TB-Export'!B2+B202+B207</f>
        <v>107716392.5</v>
      </c>
      <c r="C89" s="19"/>
    </row>
    <row r="90" spans="1:6" x14ac:dyDescent="0.3">
      <c r="A90" s="6" t="s">
        <v>1264</v>
      </c>
      <c r="B90" s="280">
        <f>+'TB-Export'!B516+B179</f>
        <v>1969239</v>
      </c>
      <c r="C90" s="19"/>
    </row>
    <row r="91" spans="1:6" x14ac:dyDescent="0.3">
      <c r="A91" s="6" t="s">
        <v>177</v>
      </c>
      <c r="B91" s="280">
        <f>+'TB-Export'!B521-C190</f>
        <v>7564330</v>
      </c>
      <c r="C91" s="19"/>
      <c r="F91" s="2">
        <v>4477013</v>
      </c>
    </row>
    <row r="92" spans="1:6" x14ac:dyDescent="0.3">
      <c r="A92" s="6" t="s">
        <v>178</v>
      </c>
      <c r="B92" s="270">
        <f>+'TB-Export'!B524</f>
        <v>4905501</v>
      </c>
      <c r="C92" s="19"/>
    </row>
    <row r="93" spans="1:6" x14ac:dyDescent="0.3">
      <c r="A93" s="6" t="s">
        <v>179</v>
      </c>
      <c r="B93" s="280">
        <f>+'TB-Export'!B515</f>
        <v>22354692</v>
      </c>
      <c r="C93" s="19"/>
    </row>
    <row r="94" spans="1:6" x14ac:dyDescent="0.3">
      <c r="A94" s="6" t="s">
        <v>1171</v>
      </c>
      <c r="B94" s="280">
        <f>+'TB-Export'!B514</f>
        <v>419405</v>
      </c>
      <c r="C94" s="19"/>
      <c r="E94" s="8"/>
    </row>
    <row r="95" spans="1:6" x14ac:dyDescent="0.3">
      <c r="A95" s="6" t="s">
        <v>699</v>
      </c>
      <c r="B95" s="270">
        <f>+'TB-Export'!B522</f>
        <v>1822863</v>
      </c>
      <c r="C95" s="19"/>
      <c r="E95" s="8"/>
    </row>
    <row r="96" spans="1:6" ht="18" customHeight="1" x14ac:dyDescent="0.3">
      <c r="A96" s="6" t="s">
        <v>211</v>
      </c>
      <c r="B96" s="270">
        <f>+'TB-Export'!B518-4477013</f>
        <v>0</v>
      </c>
      <c r="C96" s="19"/>
    </row>
    <row r="97" spans="1:6" x14ac:dyDescent="0.3">
      <c r="A97" s="6" t="s">
        <v>180</v>
      </c>
      <c r="B97" s="280">
        <f>+'TB-Export'!B517</f>
        <v>446915</v>
      </c>
      <c r="C97" s="19"/>
    </row>
    <row r="98" spans="1:6" x14ac:dyDescent="0.3">
      <c r="A98" s="6" t="s">
        <v>181</v>
      </c>
      <c r="B98" s="280">
        <f>+'TB-Export'!B520</f>
        <v>2498753</v>
      </c>
      <c r="C98" s="19"/>
      <c r="D98" s="2" t="s">
        <v>211</v>
      </c>
      <c r="E98" s="11"/>
      <c r="F98" s="11"/>
    </row>
    <row r="99" spans="1:6" x14ac:dyDescent="0.3">
      <c r="A99" s="6" t="s">
        <v>182</v>
      </c>
      <c r="B99" s="270">
        <f>+'TB-Export'!B529+'TB-Export'!B534</f>
        <v>768420.96</v>
      </c>
      <c r="C99" s="19"/>
    </row>
    <row r="100" spans="1:6" x14ac:dyDescent="0.3">
      <c r="A100" s="6" t="s">
        <v>1304</v>
      </c>
      <c r="B100" s="280">
        <f>+B182</f>
        <v>450000</v>
      </c>
      <c r="C100" s="19"/>
    </row>
    <row r="101" spans="1:6" x14ac:dyDescent="0.3">
      <c r="A101" s="6" t="s">
        <v>183</v>
      </c>
      <c r="B101" s="270">
        <f>+'TB-Export'!B523</f>
        <v>6717576</v>
      </c>
      <c r="C101" s="19"/>
    </row>
    <row r="102" spans="1:6" x14ac:dyDescent="0.3">
      <c r="A102" s="6" t="s">
        <v>184</v>
      </c>
      <c r="B102" s="270">
        <f>+'TB-Export'!B542</f>
        <v>131414</v>
      </c>
      <c r="C102" s="19"/>
      <c r="E102" s="8"/>
    </row>
    <row r="103" spans="1:6" x14ac:dyDescent="0.3">
      <c r="A103" s="6" t="s">
        <v>1259</v>
      </c>
      <c r="B103" s="270">
        <v>0</v>
      </c>
      <c r="C103" s="19"/>
      <c r="E103" s="9" t="s">
        <v>211</v>
      </c>
    </row>
    <row r="104" spans="1:6" x14ac:dyDescent="0.3">
      <c r="A104" s="6" t="s">
        <v>185</v>
      </c>
      <c r="B104" s="18"/>
      <c r="C104" s="19"/>
      <c r="E104" s="8"/>
    </row>
    <row r="105" spans="1:6" x14ac:dyDescent="0.3">
      <c r="A105" s="6" t="s">
        <v>186</v>
      </c>
      <c r="B105" s="18"/>
      <c r="C105" s="19"/>
    </row>
    <row r="106" spans="1:6" x14ac:dyDescent="0.3">
      <c r="A106" s="6" t="s">
        <v>187</v>
      </c>
      <c r="B106" s="18"/>
      <c r="C106" s="19"/>
      <c r="E106" s="2" t="s">
        <v>211</v>
      </c>
    </row>
    <row r="107" spans="1:6" x14ac:dyDescent="0.3">
      <c r="A107" s="6" t="s">
        <v>188</v>
      </c>
      <c r="B107" s="270">
        <f>+'TB-Export'!B537</f>
        <v>400724</v>
      </c>
      <c r="C107" s="19"/>
      <c r="E107" s="91" t="s">
        <v>211</v>
      </c>
    </row>
    <row r="108" spans="1:6" x14ac:dyDescent="0.3">
      <c r="A108" s="6" t="s">
        <v>189</v>
      </c>
      <c r="B108" s="270">
        <f>+'TB-Export'!B526</f>
        <v>13111402</v>
      </c>
      <c r="C108" s="19"/>
      <c r="E108" s="169" t="s">
        <v>211</v>
      </c>
    </row>
    <row r="109" spans="1:6" x14ac:dyDescent="0.3">
      <c r="A109" s="10" t="s">
        <v>190</v>
      </c>
      <c r="B109" s="270">
        <f>+'TB-Export'!B539</f>
        <v>2190081.3199999998</v>
      </c>
      <c r="C109" s="19"/>
      <c r="E109" s="8" t="s">
        <v>211</v>
      </c>
    </row>
    <row r="110" spans="1:6" x14ac:dyDescent="0.3">
      <c r="A110" s="6" t="s">
        <v>700</v>
      </c>
      <c r="B110" s="270">
        <f>+'TB-Export'!B527</f>
        <v>8645162</v>
      </c>
      <c r="C110" s="19"/>
    </row>
    <row r="111" spans="1:6" x14ac:dyDescent="0.3">
      <c r="A111" s="6" t="s">
        <v>191</v>
      </c>
      <c r="B111" s="270">
        <f>+'TB-Export'!B531+'TB-Export'!B533+'TB-Export'!B536+'TB-Export'!B538</f>
        <v>2000702.1</v>
      </c>
      <c r="C111" s="19"/>
    </row>
    <row r="112" spans="1:6" x14ac:dyDescent="0.3">
      <c r="A112" s="6" t="s">
        <v>192</v>
      </c>
      <c r="B112" s="270">
        <f>+'TB-Export'!B530</f>
        <v>449691</v>
      </c>
      <c r="C112" s="19"/>
      <c r="E112" s="8"/>
    </row>
    <row r="113" spans="1:8" x14ac:dyDescent="0.3">
      <c r="A113" s="6" t="s">
        <v>193</v>
      </c>
      <c r="B113" s="270">
        <f>+'TB-Export'!B532</f>
        <v>599550</v>
      </c>
      <c r="C113" s="19"/>
    </row>
    <row r="114" spans="1:8" x14ac:dyDescent="0.3">
      <c r="A114" s="6" t="s">
        <v>194</v>
      </c>
      <c r="B114" s="18"/>
      <c r="C114" s="19"/>
    </row>
    <row r="115" spans="1:8" x14ac:dyDescent="0.3">
      <c r="A115" s="6" t="s">
        <v>195</v>
      </c>
      <c r="B115" s="270">
        <f>+'TB-Export'!B561</f>
        <v>2467834</v>
      </c>
      <c r="C115" s="19"/>
      <c r="H115" s="14" t="s">
        <v>0</v>
      </c>
    </row>
    <row r="116" spans="1:8" x14ac:dyDescent="0.3">
      <c r="A116" s="6" t="s">
        <v>196</v>
      </c>
      <c r="B116" s="270">
        <f>+'TB-Export'!B547</f>
        <v>3431417</v>
      </c>
      <c r="C116" s="19"/>
      <c r="H116" s="14" t="s">
        <v>0</v>
      </c>
    </row>
    <row r="117" spans="1:8" x14ac:dyDescent="0.3">
      <c r="A117" s="6" t="s">
        <v>197</v>
      </c>
      <c r="B117" s="270">
        <f>+'TB-Export'!B535+B171</f>
        <v>6127725.2800000003</v>
      </c>
      <c r="C117" s="19"/>
      <c r="H117" s="14" t="s">
        <v>0</v>
      </c>
    </row>
    <row r="118" spans="1:8" x14ac:dyDescent="0.3">
      <c r="A118" s="12" t="s">
        <v>198</v>
      </c>
      <c r="B118" s="270">
        <f>+'TB-Export'!B555</f>
        <v>17580</v>
      </c>
      <c r="C118" s="19"/>
      <c r="H118" s="14" t="s">
        <v>0</v>
      </c>
    </row>
    <row r="119" spans="1:8" x14ac:dyDescent="0.3">
      <c r="A119" s="6" t="s">
        <v>199</v>
      </c>
      <c r="B119" s="270">
        <f>+'TB-Export'!B560+'TB-Export'!B562</f>
        <v>1293969</v>
      </c>
      <c r="C119" s="19"/>
      <c r="F119" s="8" t="s">
        <v>211</v>
      </c>
      <c r="H119" s="14" t="s">
        <v>0</v>
      </c>
    </row>
    <row r="120" spans="1:8" x14ac:dyDescent="0.3">
      <c r="A120" s="6" t="s">
        <v>200</v>
      </c>
      <c r="B120" s="270">
        <f>+'TB-Export'!B519</f>
        <v>5194965</v>
      </c>
      <c r="C120" s="19"/>
      <c r="H120" s="14" t="s">
        <v>0</v>
      </c>
    </row>
    <row r="121" spans="1:8" x14ac:dyDescent="0.3">
      <c r="A121" s="6" t="s">
        <v>201</v>
      </c>
      <c r="B121" s="18"/>
      <c r="C121" s="19"/>
      <c r="F121" s="2" t="s">
        <v>211</v>
      </c>
    </row>
    <row r="122" spans="1:8" x14ac:dyDescent="0.3">
      <c r="A122" s="6" t="s">
        <v>202</v>
      </c>
      <c r="B122" s="270">
        <f>+'TB-Export'!B543+'TB-Export'!B546</f>
        <v>653190</v>
      </c>
      <c r="C122" s="19"/>
      <c r="F122" s="8" t="s">
        <v>211</v>
      </c>
    </row>
    <row r="123" spans="1:8" x14ac:dyDescent="0.3">
      <c r="A123" s="6" t="s">
        <v>701</v>
      </c>
      <c r="B123" s="270">
        <f>+'TB-Export'!B554</f>
        <v>59645.8</v>
      </c>
      <c r="C123" s="19"/>
      <c r="F123" s="8"/>
    </row>
    <row r="124" spans="1:8" x14ac:dyDescent="0.3">
      <c r="A124" s="10" t="s">
        <v>241</v>
      </c>
      <c r="B124" s="18"/>
      <c r="C124" s="19"/>
      <c r="F124" s="8"/>
    </row>
    <row r="125" spans="1:8" x14ac:dyDescent="0.3">
      <c r="A125" s="6" t="s">
        <v>203</v>
      </c>
      <c r="B125" s="270">
        <f>+'TB-Export'!B558</f>
        <v>910873.59999999998</v>
      </c>
      <c r="C125" s="19"/>
      <c r="F125" s="8"/>
    </row>
    <row r="126" spans="1:8" x14ac:dyDescent="0.3">
      <c r="A126" s="6" t="s">
        <v>204</v>
      </c>
      <c r="B126" s="270">
        <f>+'TB-Export'!B544</f>
        <v>80267.47</v>
      </c>
      <c r="C126" s="19"/>
      <c r="F126" s="8"/>
    </row>
    <row r="127" spans="1:8" x14ac:dyDescent="0.3">
      <c r="A127" s="6" t="s">
        <v>205</v>
      </c>
      <c r="B127" s="270">
        <f>+'TB-Export'!B548</f>
        <v>320358</v>
      </c>
      <c r="C127" s="19"/>
    </row>
    <row r="128" spans="1:8" x14ac:dyDescent="0.3">
      <c r="A128" s="6" t="s">
        <v>206</v>
      </c>
      <c r="B128" s="270">
        <f>+'TB-Export'!B541</f>
        <v>123370.96</v>
      </c>
      <c r="C128" s="19"/>
      <c r="F128" s="8"/>
    </row>
    <row r="129" spans="1:7" x14ac:dyDescent="0.3">
      <c r="A129" s="6" t="s">
        <v>207</v>
      </c>
      <c r="B129" s="270">
        <f>+'TB-Export'!B545+B175</f>
        <v>685754.72</v>
      </c>
      <c r="C129" s="19"/>
      <c r="F129" s="8"/>
    </row>
    <row r="130" spans="1:7" x14ac:dyDescent="0.3">
      <c r="A130" s="6" t="s">
        <v>208</v>
      </c>
      <c r="B130" s="270">
        <f>+'TB-Export'!B549-3</f>
        <v>104684</v>
      </c>
      <c r="C130" s="19"/>
    </row>
    <row r="131" spans="1:7" x14ac:dyDescent="0.3">
      <c r="A131" s="6" t="s">
        <v>1260</v>
      </c>
      <c r="B131" s="270">
        <f>+'TB-Export'!B552</f>
        <v>32632</v>
      </c>
      <c r="C131" s="19"/>
    </row>
    <row r="132" spans="1:7" x14ac:dyDescent="0.3">
      <c r="A132" s="6" t="s">
        <v>242</v>
      </c>
      <c r="B132" s="270">
        <f>+'TB-Export'!B557</f>
        <v>103515</v>
      </c>
      <c r="C132" s="19"/>
      <c r="F132" s="8"/>
    </row>
    <row r="133" spans="1:7" x14ac:dyDescent="0.3">
      <c r="A133" s="6" t="s">
        <v>1172</v>
      </c>
      <c r="B133" s="270">
        <f>+'TB-Export'!B553</f>
        <v>53100</v>
      </c>
      <c r="C133" s="19"/>
      <c r="F133" s="8"/>
    </row>
    <row r="134" spans="1:7" x14ac:dyDescent="0.3">
      <c r="A134" s="6" t="s">
        <v>209</v>
      </c>
      <c r="B134" s="18" t="s">
        <v>211</v>
      </c>
      <c r="C134" s="19"/>
    </row>
    <row r="135" spans="1:7" x14ac:dyDescent="0.3">
      <c r="A135" s="6" t="s">
        <v>493</v>
      </c>
      <c r="B135" s="270">
        <f>+'TB-Export'!B566</f>
        <v>1731316.7</v>
      </c>
      <c r="C135" s="19"/>
    </row>
    <row r="136" spans="1:7" x14ac:dyDescent="0.3">
      <c r="A136" s="6" t="s">
        <v>338</v>
      </c>
      <c r="B136" s="270">
        <f>+'TB-Export'!B564</f>
        <v>1079953</v>
      </c>
      <c r="C136" s="19"/>
      <c r="F136" s="8"/>
    </row>
    <row r="137" spans="1:7" x14ac:dyDescent="0.3">
      <c r="A137" s="6" t="s">
        <v>1262</v>
      </c>
      <c r="B137" s="270">
        <f>+'TB-Export'!B551</f>
        <v>98353</v>
      </c>
      <c r="C137" s="19"/>
      <c r="F137" s="8"/>
    </row>
    <row r="138" spans="1:7" x14ac:dyDescent="0.3">
      <c r="A138" s="6" t="s">
        <v>234</v>
      </c>
      <c r="B138" s="270">
        <f>+'TB-Export'!B567</f>
        <v>134122.03</v>
      </c>
      <c r="C138" s="19"/>
    </row>
    <row r="139" spans="1:7" x14ac:dyDescent="0.3">
      <c r="A139" s="6" t="s">
        <v>214</v>
      </c>
      <c r="B139" s="18">
        <f>+B159</f>
        <v>9282365</v>
      </c>
      <c r="C139" s="19"/>
    </row>
    <row r="140" spans="1:7" x14ac:dyDescent="0.3">
      <c r="A140" s="6" t="s">
        <v>210</v>
      </c>
      <c r="B140" s="18"/>
      <c r="C140" s="271">
        <f>+'TB-Export'!C234+'TB-Export'!C233+C172+C187-4477013+1600000+2023130+38580+C205+C209</f>
        <v>59208423.969999999</v>
      </c>
    </row>
    <row r="141" spans="1:7" x14ac:dyDescent="0.3">
      <c r="A141" s="6" t="s">
        <v>1</v>
      </c>
      <c r="B141" s="18">
        <f>+'TB-Export'!B10</f>
        <v>426863197.89999998</v>
      </c>
      <c r="C141" s="19"/>
      <c r="F141" s="2" t="s">
        <v>211</v>
      </c>
      <c r="G141" s="14" t="s">
        <v>211</v>
      </c>
    </row>
    <row r="142" spans="1:7" x14ac:dyDescent="0.3">
      <c r="A142" s="6" t="s">
        <v>170</v>
      </c>
      <c r="B142" s="18" t="s">
        <v>211</v>
      </c>
      <c r="C142" s="19"/>
      <c r="F142" s="2" t="s">
        <v>211</v>
      </c>
    </row>
    <row r="143" spans="1:7" x14ac:dyDescent="0.3">
      <c r="A143" s="6" t="s">
        <v>1177</v>
      </c>
      <c r="B143" s="18"/>
      <c r="C143" s="271">
        <f>+C168</f>
        <v>28531010</v>
      </c>
    </row>
    <row r="144" spans="1:7" x14ac:dyDescent="0.3">
      <c r="A144" s="6" t="s">
        <v>1261</v>
      </c>
      <c r="B144" s="18"/>
      <c r="C144" s="271">
        <f>+'TB-Export'!C556</f>
        <v>623294.25</v>
      </c>
    </row>
    <row r="145" spans="1:6" x14ac:dyDescent="0.3">
      <c r="A145" s="6" t="s">
        <v>1290</v>
      </c>
      <c r="B145" s="18"/>
      <c r="C145" s="271">
        <f>+'TB-Export'!C565+17762</f>
        <v>177618</v>
      </c>
    </row>
    <row r="146" spans="1:6" x14ac:dyDescent="0.3">
      <c r="A146" s="6" t="s">
        <v>1299</v>
      </c>
      <c r="B146" s="270">
        <f>+'TB-Export'!B550</f>
        <v>200000</v>
      </c>
      <c r="C146" s="19"/>
    </row>
    <row r="147" spans="1:6" x14ac:dyDescent="0.3">
      <c r="A147" s="6" t="s">
        <v>705</v>
      </c>
      <c r="B147" s="18"/>
      <c r="C147" s="19" t="s">
        <v>211</v>
      </c>
    </row>
    <row r="148" spans="1:6" x14ac:dyDescent="0.3">
      <c r="A148" s="6"/>
      <c r="B148" s="18">
        <f>SUM(B5:B146)</f>
        <v>1081448333.8200002</v>
      </c>
      <c r="C148" s="18">
        <f>SUM(C5:C147)</f>
        <v>1081448333.3299999</v>
      </c>
    </row>
    <row r="149" spans="1:6" x14ac:dyDescent="0.3">
      <c r="A149" s="13"/>
      <c r="B149" s="21"/>
      <c r="C149" s="22"/>
    </row>
    <row r="150" spans="1:6" x14ac:dyDescent="0.3">
      <c r="B150" s="20"/>
      <c r="C150" s="20"/>
      <c r="F150" s="179"/>
    </row>
    <row r="151" spans="1:6" x14ac:dyDescent="0.3">
      <c r="B151" s="20"/>
      <c r="C151" s="20"/>
      <c r="F151" s="179"/>
    </row>
    <row r="152" spans="1:6" x14ac:dyDescent="0.3">
      <c r="B152" s="20">
        <f>+B148-C148</f>
        <v>0.49000024795532227</v>
      </c>
      <c r="C152" s="20"/>
      <c r="F152" s="179"/>
    </row>
    <row r="153" spans="1:6" x14ac:dyDescent="0.3">
      <c r="B153" s="20"/>
      <c r="C153" s="20"/>
      <c r="F153" s="179"/>
    </row>
    <row r="154" spans="1:6" x14ac:dyDescent="0.3">
      <c r="B154" s="20"/>
      <c r="C154" s="20"/>
      <c r="F154" s="266"/>
    </row>
    <row r="155" spans="1:6" x14ac:dyDescent="0.3">
      <c r="B155" s="20"/>
      <c r="C155" s="20"/>
      <c r="F155" s="267"/>
    </row>
    <row r="159" spans="1:6" x14ac:dyDescent="0.3">
      <c r="A159" s="2" t="s">
        <v>702</v>
      </c>
      <c r="B159" s="20">
        <v>9282365</v>
      </c>
      <c r="C159" s="20"/>
    </row>
    <row r="160" spans="1:6" x14ac:dyDescent="0.3">
      <c r="B160" s="20"/>
      <c r="C160" s="20"/>
    </row>
    <row r="161" spans="1:3" x14ac:dyDescent="0.3">
      <c r="A161" s="2" t="s">
        <v>703</v>
      </c>
      <c r="C161" s="14">
        <v>9282365</v>
      </c>
    </row>
    <row r="162" spans="1:3" x14ac:dyDescent="0.3">
      <c r="A162" s="2" t="s">
        <v>211</v>
      </c>
      <c r="B162" s="14">
        <v>0</v>
      </c>
      <c r="C162" s="14">
        <v>0</v>
      </c>
    </row>
    <row r="164" spans="1:3" x14ac:dyDescent="0.3">
      <c r="A164" s="2" t="s">
        <v>1173</v>
      </c>
      <c r="B164" s="14">
        <v>150000000</v>
      </c>
    </row>
    <row r="165" spans="1:3" x14ac:dyDescent="0.3">
      <c r="A165" s="2" t="s">
        <v>1174</v>
      </c>
      <c r="B165" s="14">
        <v>0</v>
      </c>
      <c r="C165" s="14">
        <f>79050000+B189</f>
        <v>82050000</v>
      </c>
    </row>
    <row r="166" spans="1:3" x14ac:dyDescent="0.3">
      <c r="A166" s="2" t="s">
        <v>1175</v>
      </c>
      <c r="C166" s="14">
        <v>38780053</v>
      </c>
    </row>
    <row r="167" spans="1:3" x14ac:dyDescent="0.3">
      <c r="A167" s="2" t="s">
        <v>1176</v>
      </c>
      <c r="C167" s="14">
        <v>638937</v>
      </c>
    </row>
    <row r="168" spans="1:3" x14ac:dyDescent="0.3">
      <c r="A168" s="2" t="s">
        <v>1177</v>
      </c>
      <c r="C168" s="14">
        <f>+B164-C165-C166-C167</f>
        <v>28531010</v>
      </c>
    </row>
    <row r="169" spans="1:3" x14ac:dyDescent="0.3">
      <c r="B169" s="14">
        <v>0</v>
      </c>
    </row>
    <row r="170" spans="1:3" x14ac:dyDescent="0.3">
      <c r="C170" s="14">
        <v>0</v>
      </c>
    </row>
    <row r="171" spans="1:3" x14ac:dyDescent="0.3">
      <c r="A171" s="2" t="s">
        <v>1178</v>
      </c>
      <c r="B171" s="14">
        <v>0</v>
      </c>
    </row>
    <row r="172" spans="1:3" x14ac:dyDescent="0.3">
      <c r="A172" s="2" t="s">
        <v>704</v>
      </c>
      <c r="C172" s="14">
        <v>0</v>
      </c>
    </row>
    <row r="173" spans="1:3" x14ac:dyDescent="0.3">
      <c r="B173" s="14">
        <v>0</v>
      </c>
    </row>
    <row r="174" spans="1:3" x14ac:dyDescent="0.3">
      <c r="C174" s="14">
        <v>0</v>
      </c>
    </row>
    <row r="175" spans="1:3" x14ac:dyDescent="0.3">
      <c r="A175" s="2" t="s">
        <v>1297</v>
      </c>
      <c r="B175" s="14">
        <v>0</v>
      </c>
    </row>
    <row r="176" spans="1:3" x14ac:dyDescent="0.3">
      <c r="A176" s="2" t="s">
        <v>1298</v>
      </c>
      <c r="C176" s="14">
        <v>0</v>
      </c>
    </row>
    <row r="179" spans="1:3" x14ac:dyDescent="0.3">
      <c r="A179" s="2" t="s">
        <v>1301</v>
      </c>
      <c r="B179" s="14">
        <v>1500000</v>
      </c>
    </row>
    <row r="180" spans="1:3" x14ac:dyDescent="0.3">
      <c r="A180" s="2" t="s">
        <v>1300</v>
      </c>
      <c r="C180" s="14">
        <v>1500000</v>
      </c>
    </row>
    <row r="182" spans="1:3" x14ac:dyDescent="0.3">
      <c r="A182" s="2" t="s">
        <v>1302</v>
      </c>
      <c r="B182" s="14">
        <v>450000</v>
      </c>
    </row>
    <row r="183" spans="1:3" x14ac:dyDescent="0.3">
      <c r="A183" s="2" t="s">
        <v>1303</v>
      </c>
      <c r="C183" s="14">
        <v>450000</v>
      </c>
    </row>
    <row r="186" spans="1:3" x14ac:dyDescent="0.3">
      <c r="A186" s="2" t="s">
        <v>1320</v>
      </c>
      <c r="B186" s="14">
        <v>3105000</v>
      </c>
    </row>
    <row r="187" spans="1:3" x14ac:dyDescent="0.3">
      <c r="A187" s="2" t="s">
        <v>1317</v>
      </c>
      <c r="C187" s="14">
        <f>+B186</f>
        <v>3105000</v>
      </c>
    </row>
    <row r="189" spans="1:3" x14ac:dyDescent="0.3">
      <c r="A189" s="2" t="s">
        <v>318</v>
      </c>
      <c r="B189" s="14">
        <v>3000000</v>
      </c>
    </row>
    <row r="190" spans="1:3" x14ac:dyDescent="0.3">
      <c r="A190" s="2" t="s">
        <v>1322</v>
      </c>
      <c r="B190" s="2"/>
      <c r="C190" s="14">
        <v>3000000</v>
      </c>
    </row>
    <row r="191" spans="1:3" x14ac:dyDescent="0.3">
      <c r="B191" s="2"/>
      <c r="C191" s="2"/>
    </row>
    <row r="194" spans="1:3" x14ac:dyDescent="0.3">
      <c r="A194" s="2" t="s">
        <v>1318</v>
      </c>
      <c r="B194" s="14">
        <v>7821102</v>
      </c>
    </row>
    <row r="195" spans="1:3" x14ac:dyDescent="0.3">
      <c r="A195" s="2" t="s">
        <v>1319</v>
      </c>
      <c r="C195" s="14">
        <v>7821102</v>
      </c>
    </row>
    <row r="200" spans="1:3" x14ac:dyDescent="0.3">
      <c r="A200" s="2" t="s">
        <v>1323</v>
      </c>
    </row>
    <row r="202" spans="1:3" x14ac:dyDescent="0.3">
      <c r="A202" s="2" t="s">
        <v>1324</v>
      </c>
      <c r="B202" s="14">
        <v>97850</v>
      </c>
    </row>
    <row r="203" spans="1:3" x14ac:dyDescent="0.3">
      <c r="A203" s="2" t="s">
        <v>1325</v>
      </c>
      <c r="B203" s="14">
        <v>8806.5</v>
      </c>
    </row>
    <row r="204" spans="1:3" x14ac:dyDescent="0.3">
      <c r="A204" s="2" t="s">
        <v>1326</v>
      </c>
      <c r="B204" s="14">
        <v>8807</v>
      </c>
    </row>
    <row r="205" spans="1:3" x14ac:dyDescent="0.3">
      <c r="A205" s="2" t="s">
        <v>1327</v>
      </c>
      <c r="C205" s="14">
        <v>115463</v>
      </c>
    </row>
    <row r="207" spans="1:3" x14ac:dyDescent="0.3">
      <c r="A207" s="2" t="s">
        <v>1324</v>
      </c>
      <c r="B207" s="14">
        <v>5560</v>
      </c>
    </row>
    <row r="208" spans="1:3" x14ac:dyDescent="0.3">
      <c r="A208" s="2" t="s">
        <v>1328</v>
      </c>
      <c r="B208" s="14">
        <v>1001</v>
      </c>
    </row>
    <row r="209" spans="1:3" x14ac:dyDescent="0.3">
      <c r="A209" s="2" t="s">
        <v>1329</v>
      </c>
      <c r="C209" s="14">
        <v>6561</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view="pageBreakPreview" zoomScaleSheetLayoutView="100" workbookViewId="0">
      <selection activeCell="I10" sqref="I10"/>
    </sheetView>
  </sheetViews>
  <sheetFormatPr defaultRowHeight="14.4" x14ac:dyDescent="0.3"/>
  <cols>
    <col min="1" max="1" width="36.44140625" customWidth="1"/>
    <col min="2" max="3" width="14.88671875" bestFit="1" customWidth="1"/>
    <col min="4" max="4" width="13" bestFit="1" customWidth="1"/>
    <col min="5" max="5" width="16.5546875" bestFit="1" customWidth="1"/>
    <col min="6" max="6" width="11.6640625" customWidth="1"/>
    <col min="7" max="7" width="16.33203125" bestFit="1" customWidth="1"/>
    <col min="8" max="8" width="13.88671875" customWidth="1"/>
    <col min="9" max="9" width="20" bestFit="1" customWidth="1"/>
  </cols>
  <sheetData>
    <row r="1" spans="1:9" ht="15.6" x14ac:dyDescent="0.3">
      <c r="A1" s="2089" t="s">
        <v>558</v>
      </c>
      <c r="B1" s="2089"/>
      <c r="C1" s="2089"/>
      <c r="D1" s="2089"/>
      <c r="E1" s="2089"/>
      <c r="F1" s="2089"/>
      <c r="G1" s="2089"/>
      <c r="H1" s="2089"/>
    </row>
    <row r="2" spans="1:9" ht="15.6" x14ac:dyDescent="0.3">
      <c r="A2" s="2089" t="s">
        <v>559</v>
      </c>
      <c r="B2" s="2089"/>
      <c r="C2" s="2089"/>
      <c r="D2" s="2089"/>
      <c r="E2" s="2089"/>
      <c r="F2" s="2089"/>
      <c r="G2" s="2089"/>
      <c r="H2" s="2089"/>
    </row>
    <row r="3" spans="1:9" x14ac:dyDescent="0.3">
      <c r="A3" s="208" t="s">
        <v>560</v>
      </c>
      <c r="B3" s="208"/>
      <c r="C3" s="208"/>
      <c r="D3" s="208"/>
      <c r="E3" s="208"/>
      <c r="F3" s="208"/>
      <c r="G3" s="208" t="s">
        <v>211</v>
      </c>
      <c r="H3" s="208"/>
    </row>
    <row r="4" spans="1:9" x14ac:dyDescent="0.3">
      <c r="A4" s="208" t="s">
        <v>580</v>
      </c>
      <c r="B4" s="208"/>
      <c r="C4" s="208"/>
      <c r="D4" s="208"/>
      <c r="E4" s="208"/>
      <c r="F4" s="208"/>
      <c r="G4" s="208"/>
      <c r="H4" s="208"/>
    </row>
    <row r="5" spans="1:9" x14ac:dyDescent="0.3">
      <c r="A5" s="209" t="s">
        <v>561</v>
      </c>
      <c r="B5" s="210" t="s">
        <v>562</v>
      </c>
      <c r="C5" s="210" t="s">
        <v>563</v>
      </c>
      <c r="D5" s="210" t="s">
        <v>564</v>
      </c>
      <c r="E5" s="210" t="s">
        <v>565</v>
      </c>
      <c r="F5" s="210" t="s">
        <v>566</v>
      </c>
      <c r="G5" s="210" t="s">
        <v>567</v>
      </c>
      <c r="H5" s="210" t="s">
        <v>567</v>
      </c>
      <c r="I5" s="209" t="s">
        <v>610</v>
      </c>
    </row>
    <row r="6" spans="1:9" x14ac:dyDescent="0.3">
      <c r="A6" s="208"/>
      <c r="B6" s="211" t="s">
        <v>568</v>
      </c>
      <c r="C6" s="211" t="s">
        <v>569</v>
      </c>
      <c r="D6" s="211" t="s">
        <v>570</v>
      </c>
      <c r="E6" s="211" t="s">
        <v>570</v>
      </c>
      <c r="F6" s="211" t="s">
        <v>311</v>
      </c>
      <c r="G6" s="211" t="s">
        <v>608</v>
      </c>
      <c r="H6" s="211" t="s">
        <v>609</v>
      </c>
      <c r="I6" s="257" t="s">
        <v>611</v>
      </c>
    </row>
    <row r="7" spans="1:9" x14ac:dyDescent="0.3">
      <c r="A7" s="212"/>
      <c r="B7" s="213"/>
      <c r="C7" s="213"/>
      <c r="D7" s="213"/>
      <c r="E7" s="213"/>
      <c r="F7" s="213"/>
      <c r="G7" s="213"/>
      <c r="H7" s="213"/>
      <c r="I7" s="218" t="s">
        <v>612</v>
      </c>
    </row>
    <row r="8" spans="1:9" x14ac:dyDescent="0.3">
      <c r="A8" s="214" t="s">
        <v>571</v>
      </c>
      <c r="B8" s="208"/>
      <c r="C8" s="208"/>
      <c r="D8" s="208"/>
      <c r="E8" s="208"/>
      <c r="F8" s="208"/>
      <c r="G8" s="208"/>
      <c r="H8" s="208"/>
    </row>
    <row r="9" spans="1:9" x14ac:dyDescent="0.3">
      <c r="A9" s="208" t="s">
        <v>572</v>
      </c>
      <c r="B9" s="215" t="e">
        <f>#REF!</f>
        <v>#REF!</v>
      </c>
      <c r="C9" s="89" t="e">
        <f>B9</f>
        <v>#REF!</v>
      </c>
      <c r="D9" s="215"/>
      <c r="E9" s="216"/>
      <c r="F9" s="216"/>
      <c r="G9" s="216"/>
      <c r="H9" s="208"/>
    </row>
    <row r="10" spans="1:9" x14ac:dyDescent="0.3">
      <c r="A10" s="208" t="s">
        <v>573</v>
      </c>
      <c r="B10" s="217" t="e">
        <f>#REF!</f>
        <v>#REF!</v>
      </c>
      <c r="C10" s="218" t="e">
        <f>C9-C11</f>
        <v>#REF!</v>
      </c>
      <c r="D10" s="215">
        <v>0</v>
      </c>
      <c r="E10" s="216" t="e">
        <f>B10-C10</f>
        <v>#REF!</v>
      </c>
      <c r="G10" s="216" t="e">
        <f>E10*26%</f>
        <v>#REF!</v>
      </c>
      <c r="H10" s="256">
        <f>-'BS PL CFL'!H52</f>
        <v>0</v>
      </c>
      <c r="I10" s="244" t="e">
        <f>H10-G10</f>
        <v>#REF!</v>
      </c>
    </row>
    <row r="11" spans="1:9" x14ac:dyDescent="0.3">
      <c r="A11" s="208" t="s">
        <v>574</v>
      </c>
      <c r="B11" s="215" t="e">
        <f>B9-B10</f>
        <v>#REF!</v>
      </c>
      <c r="C11" s="1">
        <f>'Tax Dep'!H20</f>
        <v>135368030.47500002</v>
      </c>
      <c r="D11" s="215">
        <v>0</v>
      </c>
      <c r="E11" s="216"/>
      <c r="F11" s="219"/>
      <c r="G11" s="220">
        <v>0</v>
      </c>
      <c r="H11" s="221"/>
    </row>
    <row r="12" spans="1:9" x14ac:dyDescent="0.3">
      <c r="A12" s="208" t="s">
        <v>575</v>
      </c>
      <c r="B12" s="216">
        <v>0</v>
      </c>
      <c r="C12" s="216">
        <v>0</v>
      </c>
      <c r="D12" s="222">
        <v>0</v>
      </c>
      <c r="E12" s="222">
        <v>0</v>
      </c>
      <c r="F12" s="216"/>
      <c r="G12" s="216">
        <v>0</v>
      </c>
      <c r="H12" s="208"/>
    </row>
    <row r="13" spans="1:9" x14ac:dyDescent="0.3">
      <c r="E13" s="89" t="e">
        <f>B10-C10</f>
        <v>#REF!</v>
      </c>
    </row>
    <row r="14" spans="1:9" x14ac:dyDescent="0.3">
      <c r="A14" s="2090" t="s">
        <v>576</v>
      </c>
      <c r="B14" s="2090"/>
      <c r="C14" s="223"/>
      <c r="F14" t="s">
        <v>607</v>
      </c>
      <c r="G14" s="244">
        <f>'BS PL CFL'!H52</f>
        <v>0</v>
      </c>
    </row>
    <row r="15" spans="1:9" x14ac:dyDescent="0.3">
      <c r="A15" s="224"/>
      <c r="B15" s="223"/>
      <c r="C15" s="223"/>
      <c r="G15" s="255" t="e">
        <f>G10+G14</f>
        <v>#REF!</v>
      </c>
    </row>
    <row r="16" spans="1:9" x14ac:dyDescent="0.3">
      <c r="A16" s="224" t="s">
        <v>577</v>
      </c>
      <c r="B16" s="223">
        <f>'Tax Dep'!G20</f>
        <v>8601252.5249999985</v>
      </c>
      <c r="C16" s="223"/>
    </row>
    <row r="17" spans="1:3" x14ac:dyDescent="0.3">
      <c r="A17" s="224" t="s">
        <v>581</v>
      </c>
      <c r="B17" s="225" t="e">
        <f>#REF!</f>
        <v>#REF!</v>
      </c>
      <c r="C17" s="223"/>
    </row>
    <row r="18" spans="1:3" x14ac:dyDescent="0.3">
      <c r="A18" s="229" t="s">
        <v>570</v>
      </c>
      <c r="B18" s="227" t="e">
        <f>B16-B17</f>
        <v>#REF!</v>
      </c>
      <c r="C18" s="223"/>
    </row>
    <row r="19" spans="1:3" x14ac:dyDescent="0.3">
      <c r="A19" s="226"/>
      <c r="B19" s="228"/>
      <c r="C19" s="223"/>
    </row>
    <row r="20" spans="1:3" x14ac:dyDescent="0.3">
      <c r="A20" s="181" t="s">
        <v>578</v>
      </c>
      <c r="B20" s="223" t="e">
        <f>B18*26%</f>
        <v>#REF!</v>
      </c>
      <c r="C20" s="223"/>
    </row>
    <row r="21" spans="1:3" x14ac:dyDescent="0.3">
      <c r="A21" s="181" t="s">
        <v>579</v>
      </c>
      <c r="B21" s="223"/>
      <c r="C21" s="223" t="e">
        <f>MAX(G10,B20)</f>
        <v>#REF!</v>
      </c>
    </row>
  </sheetData>
  <mergeCells count="3">
    <mergeCell ref="A1:H1"/>
    <mergeCell ref="A2:H2"/>
    <mergeCell ref="A14:B14"/>
  </mergeCells>
  <pageMargins left="0.7" right="0.7" top="0.75" bottom="0.75" header="0.3" footer="0.3"/>
  <pageSetup paperSize="9" scale="75"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7"/>
  <sheetViews>
    <sheetView topLeftCell="A77" workbookViewId="0">
      <selection activeCell="B93" sqref="B93:B94"/>
    </sheetView>
  </sheetViews>
  <sheetFormatPr defaultRowHeight="14.4" x14ac:dyDescent="0.3"/>
  <cols>
    <col min="1" max="1" width="33.109375" bestFit="1" customWidth="1"/>
    <col min="2" max="2" width="33.44140625" customWidth="1"/>
    <col min="3" max="3" width="14.5546875" customWidth="1"/>
  </cols>
  <sheetData>
    <row r="1" spans="1:4" x14ac:dyDescent="0.3">
      <c r="A1" s="248"/>
      <c r="B1" s="248"/>
      <c r="C1" s="248"/>
      <c r="D1" s="248"/>
    </row>
    <row r="2" spans="1:4" x14ac:dyDescent="0.3">
      <c r="A2" t="s">
        <v>1202</v>
      </c>
      <c r="B2">
        <v>6727535.9100000001</v>
      </c>
      <c r="C2" t="s">
        <v>711</v>
      </c>
      <c r="D2" s="248"/>
    </row>
    <row r="3" spans="1:4" x14ac:dyDescent="0.3">
      <c r="A3" t="s">
        <v>897</v>
      </c>
      <c r="B3">
        <v>0.08</v>
      </c>
      <c r="C3" t="s">
        <v>711</v>
      </c>
      <c r="D3" s="248"/>
    </row>
    <row r="4" spans="1:4" x14ac:dyDescent="0.3">
      <c r="A4" t="s">
        <v>896</v>
      </c>
      <c r="B4">
        <v>0.42</v>
      </c>
      <c r="C4" t="s">
        <v>711</v>
      </c>
      <c r="D4" s="248"/>
    </row>
    <row r="5" spans="1:4" x14ac:dyDescent="0.3">
      <c r="A5" t="s">
        <v>1203</v>
      </c>
      <c r="B5">
        <v>0.48</v>
      </c>
      <c r="C5" t="s">
        <v>711</v>
      </c>
      <c r="D5" s="248"/>
    </row>
    <row r="6" spans="1:4" x14ac:dyDescent="0.3">
      <c r="A6" t="s">
        <v>880</v>
      </c>
      <c r="B6">
        <v>4</v>
      </c>
      <c r="C6" t="s">
        <v>711</v>
      </c>
      <c r="D6" s="248"/>
    </row>
    <row r="7" spans="1:4" x14ac:dyDescent="0.3">
      <c r="A7" t="s">
        <v>895</v>
      </c>
      <c r="B7">
        <v>40</v>
      </c>
      <c r="C7" t="s">
        <v>711</v>
      </c>
      <c r="D7" s="248"/>
    </row>
    <row r="8" spans="1:4" x14ac:dyDescent="0.3">
      <c r="A8" t="s">
        <v>843</v>
      </c>
      <c r="B8">
        <v>88</v>
      </c>
      <c r="C8" t="s">
        <v>711</v>
      </c>
      <c r="D8" s="248"/>
    </row>
    <row r="9" spans="1:4" x14ac:dyDescent="0.3">
      <c r="A9" t="s">
        <v>849</v>
      </c>
      <c r="B9">
        <v>125</v>
      </c>
      <c r="C9" t="s">
        <v>711</v>
      </c>
      <c r="D9" s="248"/>
    </row>
    <row r="10" spans="1:4" x14ac:dyDescent="0.3">
      <c r="A10" t="s">
        <v>845</v>
      </c>
      <c r="B10">
        <v>361</v>
      </c>
      <c r="C10" t="s">
        <v>711</v>
      </c>
      <c r="D10" s="248"/>
    </row>
    <row r="11" spans="1:4" x14ac:dyDescent="0.3">
      <c r="A11" t="s">
        <v>884</v>
      </c>
      <c r="B11">
        <v>550</v>
      </c>
      <c r="C11" t="s">
        <v>711</v>
      </c>
      <c r="D11" s="248"/>
    </row>
    <row r="12" spans="1:4" x14ac:dyDescent="0.3">
      <c r="A12" t="s">
        <v>1209</v>
      </c>
      <c r="B12">
        <v>654</v>
      </c>
      <c r="C12" t="s">
        <v>711</v>
      </c>
      <c r="D12" s="248"/>
    </row>
    <row r="13" spans="1:4" x14ac:dyDescent="0.3">
      <c r="A13" t="s">
        <v>833</v>
      </c>
      <c r="B13" s="265">
        <v>1274.1199999999999</v>
      </c>
      <c r="C13" t="s">
        <v>711</v>
      </c>
      <c r="D13" s="248"/>
    </row>
    <row r="14" spans="1:4" x14ac:dyDescent="0.3">
      <c r="A14" t="s">
        <v>876</v>
      </c>
      <c r="B14" s="265">
        <v>2564.1999999999998</v>
      </c>
      <c r="C14" t="s">
        <v>711</v>
      </c>
      <c r="D14" s="248"/>
    </row>
    <row r="15" spans="1:4" x14ac:dyDescent="0.3">
      <c r="A15" t="s">
        <v>834</v>
      </c>
      <c r="B15" s="265">
        <v>2904.2</v>
      </c>
      <c r="C15" t="s">
        <v>711</v>
      </c>
      <c r="D15" s="248"/>
    </row>
    <row r="16" spans="1:4" x14ac:dyDescent="0.3">
      <c r="A16" t="s">
        <v>900</v>
      </c>
      <c r="B16" s="265">
        <v>3162</v>
      </c>
      <c r="C16" t="s">
        <v>711</v>
      </c>
      <c r="D16" s="248"/>
    </row>
    <row r="17" spans="1:4" x14ac:dyDescent="0.3">
      <c r="A17" t="s">
        <v>885</v>
      </c>
      <c r="B17" s="265">
        <v>3225</v>
      </c>
      <c r="C17" t="s">
        <v>711</v>
      </c>
      <c r="D17" s="248"/>
    </row>
    <row r="18" spans="1:4" x14ac:dyDescent="0.3">
      <c r="A18" t="s">
        <v>886</v>
      </c>
      <c r="B18" s="265">
        <v>3293</v>
      </c>
      <c r="C18" t="s">
        <v>711</v>
      </c>
      <c r="D18" s="248"/>
    </row>
    <row r="19" spans="1:4" x14ac:dyDescent="0.3">
      <c r="A19" t="s">
        <v>868</v>
      </c>
      <c r="B19" s="265">
        <v>3302</v>
      </c>
      <c r="C19" t="s">
        <v>711</v>
      </c>
      <c r="D19" s="248"/>
    </row>
    <row r="20" spans="1:4" x14ac:dyDescent="0.3">
      <c r="A20" t="s">
        <v>883</v>
      </c>
      <c r="B20" s="265">
        <v>4075</v>
      </c>
      <c r="C20" t="s">
        <v>711</v>
      </c>
      <c r="D20" s="248"/>
    </row>
    <row r="21" spans="1:4" x14ac:dyDescent="0.3">
      <c r="A21" t="s">
        <v>848</v>
      </c>
      <c r="B21" s="265">
        <v>5612</v>
      </c>
      <c r="C21" t="s">
        <v>711</v>
      </c>
      <c r="D21" s="248"/>
    </row>
    <row r="22" spans="1:4" x14ac:dyDescent="0.3">
      <c r="A22" t="s">
        <v>846</v>
      </c>
      <c r="B22" s="265">
        <v>6824</v>
      </c>
      <c r="C22" t="s">
        <v>711</v>
      </c>
      <c r="D22" s="248"/>
    </row>
    <row r="23" spans="1:4" x14ac:dyDescent="0.3">
      <c r="A23" t="s">
        <v>858</v>
      </c>
      <c r="B23" s="265">
        <v>7744</v>
      </c>
      <c r="C23" t="s">
        <v>711</v>
      </c>
      <c r="D23" s="248"/>
    </row>
    <row r="24" spans="1:4" x14ac:dyDescent="0.3">
      <c r="A24" t="s">
        <v>1207</v>
      </c>
      <c r="B24" s="265">
        <v>8858</v>
      </c>
      <c r="C24" t="s">
        <v>711</v>
      </c>
      <c r="D24" s="248"/>
    </row>
    <row r="25" spans="1:4" x14ac:dyDescent="0.3">
      <c r="A25" t="s">
        <v>1274</v>
      </c>
      <c r="B25" s="265">
        <v>11883</v>
      </c>
      <c r="C25" t="s">
        <v>711</v>
      </c>
      <c r="D25" s="248"/>
    </row>
    <row r="26" spans="1:4" x14ac:dyDescent="0.3">
      <c r="A26" t="s">
        <v>864</v>
      </c>
      <c r="B26" s="265">
        <v>13273</v>
      </c>
      <c r="C26" t="s">
        <v>711</v>
      </c>
      <c r="D26" s="248"/>
    </row>
    <row r="27" spans="1:4" x14ac:dyDescent="0.3">
      <c r="A27" t="s">
        <v>831</v>
      </c>
      <c r="B27" s="265">
        <v>15452.83</v>
      </c>
      <c r="C27" t="s">
        <v>711</v>
      </c>
      <c r="D27" s="248"/>
    </row>
    <row r="28" spans="1:4" x14ac:dyDescent="0.3">
      <c r="A28" t="s">
        <v>835</v>
      </c>
      <c r="B28" s="265">
        <v>18899.2</v>
      </c>
      <c r="C28" t="s">
        <v>711</v>
      </c>
      <c r="D28" s="248"/>
    </row>
    <row r="29" spans="1:4" x14ac:dyDescent="0.3">
      <c r="A29" t="s">
        <v>1204</v>
      </c>
      <c r="B29" s="265">
        <v>38580</v>
      </c>
      <c r="C29" t="s">
        <v>711</v>
      </c>
      <c r="D29" s="248"/>
    </row>
    <row r="30" spans="1:4" x14ac:dyDescent="0.3">
      <c r="A30" t="s">
        <v>892</v>
      </c>
      <c r="B30" s="265">
        <v>75074</v>
      </c>
      <c r="C30" t="s">
        <v>711</v>
      </c>
      <c r="D30" s="248"/>
    </row>
    <row r="31" spans="1:4" x14ac:dyDescent="0.3">
      <c r="A31" t="s">
        <v>1208</v>
      </c>
      <c r="B31">
        <v>121800</v>
      </c>
      <c r="C31" t="s">
        <v>711</v>
      </c>
      <c r="D31" s="248"/>
    </row>
    <row r="32" spans="1:4" x14ac:dyDescent="0.3">
      <c r="A32" t="s">
        <v>891</v>
      </c>
      <c r="B32">
        <v>122218.5</v>
      </c>
      <c r="C32" t="s">
        <v>711</v>
      </c>
      <c r="D32" s="248"/>
    </row>
    <row r="33" spans="1:4" x14ac:dyDescent="0.3">
      <c r="A33" t="s">
        <v>1273</v>
      </c>
      <c r="B33">
        <v>148113</v>
      </c>
      <c r="C33" t="s">
        <v>711</v>
      </c>
      <c r="D33" s="248"/>
    </row>
    <row r="34" spans="1:4" x14ac:dyDescent="0.3">
      <c r="A34" t="s">
        <v>1205</v>
      </c>
      <c r="B34">
        <v>148832</v>
      </c>
      <c r="C34" t="s">
        <v>711</v>
      </c>
      <c r="D34" s="248"/>
    </row>
    <row r="35" spans="1:4" x14ac:dyDescent="0.3">
      <c r="A35" t="s">
        <v>894</v>
      </c>
      <c r="B35">
        <v>173292.68</v>
      </c>
      <c r="C35" t="s">
        <v>711</v>
      </c>
      <c r="D35" s="248"/>
    </row>
    <row r="36" spans="1:4" x14ac:dyDescent="0.3">
      <c r="A36" t="s">
        <v>827</v>
      </c>
      <c r="B36">
        <v>217448</v>
      </c>
      <c r="C36" t="s">
        <v>711</v>
      </c>
      <c r="D36" s="248"/>
    </row>
    <row r="37" spans="1:4" x14ac:dyDescent="0.3">
      <c r="A37" t="s">
        <v>890</v>
      </c>
      <c r="B37">
        <v>433640</v>
      </c>
      <c r="C37" t="s">
        <v>711</v>
      </c>
      <c r="D37" s="248"/>
    </row>
    <row r="38" spans="1:4" x14ac:dyDescent="0.3">
      <c r="A38" t="s">
        <v>899</v>
      </c>
      <c r="B38">
        <v>483873</v>
      </c>
      <c r="C38" t="s">
        <v>711</v>
      </c>
      <c r="D38" s="248"/>
    </row>
    <row r="39" spans="1:4" x14ac:dyDescent="0.3">
      <c r="A39" t="s">
        <v>893</v>
      </c>
      <c r="B39">
        <v>2933182</v>
      </c>
      <c r="C39" t="s">
        <v>711</v>
      </c>
      <c r="D39" s="248"/>
    </row>
    <row r="40" spans="1:4" x14ac:dyDescent="0.3">
      <c r="A40" t="s">
        <v>859</v>
      </c>
      <c r="B40">
        <v>14349200</v>
      </c>
      <c r="C40" t="s">
        <v>711</v>
      </c>
      <c r="D40" s="248"/>
    </row>
    <row r="41" spans="1:4" x14ac:dyDescent="0.3">
      <c r="A41" t="s">
        <v>828</v>
      </c>
      <c r="B41" t="s">
        <v>711</v>
      </c>
      <c r="C41">
        <v>544</v>
      </c>
      <c r="D41" s="248"/>
    </row>
    <row r="42" spans="1:4" x14ac:dyDescent="0.3">
      <c r="A42" t="s">
        <v>829</v>
      </c>
      <c r="B42" t="s">
        <v>711</v>
      </c>
      <c r="C42">
        <v>1006650.56</v>
      </c>
      <c r="D42" s="248"/>
    </row>
    <row r="43" spans="1:4" x14ac:dyDescent="0.3">
      <c r="A43" t="s">
        <v>830</v>
      </c>
      <c r="B43" t="s">
        <v>711</v>
      </c>
      <c r="C43" s="265">
        <v>7906</v>
      </c>
      <c r="D43" s="248"/>
    </row>
    <row r="44" spans="1:4" x14ac:dyDescent="0.3">
      <c r="A44" t="s">
        <v>832</v>
      </c>
      <c r="B44" t="s">
        <v>711</v>
      </c>
      <c r="C44" s="265">
        <v>1220.8</v>
      </c>
      <c r="D44" s="248"/>
    </row>
    <row r="45" spans="1:4" x14ac:dyDescent="0.3">
      <c r="A45" t="s">
        <v>836</v>
      </c>
      <c r="B45" t="s">
        <v>711</v>
      </c>
      <c r="C45" s="265">
        <v>12333.84</v>
      </c>
      <c r="D45" s="248"/>
    </row>
    <row r="46" spans="1:4" x14ac:dyDescent="0.3">
      <c r="A46" t="s">
        <v>837</v>
      </c>
      <c r="B46" t="s">
        <v>711</v>
      </c>
      <c r="C46">
        <v>457672</v>
      </c>
      <c r="D46" s="248"/>
    </row>
    <row r="47" spans="1:4" x14ac:dyDescent="0.3">
      <c r="A47" t="s">
        <v>838</v>
      </c>
      <c r="B47" t="s">
        <v>711</v>
      </c>
      <c r="C47">
        <v>515</v>
      </c>
      <c r="D47" s="248"/>
    </row>
    <row r="48" spans="1:4" x14ac:dyDescent="0.3">
      <c r="A48" t="s">
        <v>839</v>
      </c>
      <c r="B48" t="s">
        <v>711</v>
      </c>
      <c r="C48" s="265">
        <v>19041</v>
      </c>
      <c r="D48" s="248"/>
    </row>
    <row r="49" spans="1:4" x14ac:dyDescent="0.3">
      <c r="A49" t="s">
        <v>840</v>
      </c>
      <c r="B49" t="s">
        <v>711</v>
      </c>
      <c r="C49" s="265">
        <v>6311</v>
      </c>
      <c r="D49" s="248"/>
    </row>
    <row r="50" spans="1:4" x14ac:dyDescent="0.3">
      <c r="A50" t="s">
        <v>841</v>
      </c>
      <c r="B50" t="s">
        <v>711</v>
      </c>
      <c r="C50" s="265">
        <v>3240</v>
      </c>
      <c r="D50" s="248"/>
    </row>
    <row r="51" spans="1:4" x14ac:dyDescent="0.3">
      <c r="A51" t="s">
        <v>842</v>
      </c>
      <c r="B51" t="s">
        <v>711</v>
      </c>
      <c r="C51" s="265">
        <v>1792</v>
      </c>
      <c r="D51" s="248"/>
    </row>
    <row r="52" spans="1:4" x14ac:dyDescent="0.3">
      <c r="A52" t="s">
        <v>844</v>
      </c>
      <c r="B52" t="s">
        <v>711</v>
      </c>
      <c r="C52">
        <v>273.83999999999997</v>
      </c>
      <c r="D52" s="248"/>
    </row>
    <row r="53" spans="1:4" x14ac:dyDescent="0.3">
      <c r="A53" t="s">
        <v>847</v>
      </c>
      <c r="B53" t="s">
        <v>711</v>
      </c>
      <c r="C53">
        <v>126</v>
      </c>
      <c r="D53" s="248"/>
    </row>
    <row r="54" spans="1:4" x14ac:dyDescent="0.3">
      <c r="A54" t="s">
        <v>850</v>
      </c>
      <c r="B54" t="s">
        <v>711</v>
      </c>
      <c r="C54">
        <v>177</v>
      </c>
      <c r="D54" s="248"/>
    </row>
    <row r="55" spans="1:4" x14ac:dyDescent="0.3">
      <c r="A55" t="s">
        <v>851</v>
      </c>
      <c r="B55" t="s">
        <v>711</v>
      </c>
      <c r="C55">
        <v>425</v>
      </c>
      <c r="D55" s="248"/>
    </row>
    <row r="56" spans="1:4" x14ac:dyDescent="0.3">
      <c r="A56" t="s">
        <v>852</v>
      </c>
      <c r="B56" t="s">
        <v>711</v>
      </c>
      <c r="C56" s="265">
        <v>7378</v>
      </c>
      <c r="D56" s="248"/>
    </row>
    <row r="57" spans="1:4" x14ac:dyDescent="0.3">
      <c r="A57" t="s">
        <v>853</v>
      </c>
      <c r="B57" t="s">
        <v>711</v>
      </c>
      <c r="C57" s="265">
        <v>2838</v>
      </c>
      <c r="D57" s="248"/>
    </row>
    <row r="58" spans="1:4" x14ac:dyDescent="0.3">
      <c r="A58" t="s">
        <v>854</v>
      </c>
      <c r="B58" t="s">
        <v>711</v>
      </c>
      <c r="C58" s="265">
        <v>1453</v>
      </c>
      <c r="D58" s="248"/>
    </row>
    <row r="59" spans="1:4" x14ac:dyDescent="0.3">
      <c r="A59" t="s">
        <v>855</v>
      </c>
      <c r="B59" t="s">
        <v>711</v>
      </c>
      <c r="C59">
        <v>599</v>
      </c>
      <c r="D59" s="248"/>
    </row>
    <row r="60" spans="1:4" x14ac:dyDescent="0.3">
      <c r="A60" t="s">
        <v>856</v>
      </c>
      <c r="B60" t="s">
        <v>711</v>
      </c>
      <c r="C60" s="265">
        <v>2277</v>
      </c>
      <c r="D60" s="248"/>
    </row>
    <row r="61" spans="1:4" x14ac:dyDescent="0.3">
      <c r="A61" t="s">
        <v>857</v>
      </c>
      <c r="B61" t="s">
        <v>711</v>
      </c>
      <c r="C61">
        <v>1</v>
      </c>
      <c r="D61" s="248"/>
    </row>
    <row r="62" spans="1:4" x14ac:dyDescent="0.3">
      <c r="A62" t="s">
        <v>860</v>
      </c>
      <c r="B62" t="s">
        <v>711</v>
      </c>
      <c r="C62" s="265">
        <v>3722</v>
      </c>
      <c r="D62" s="248"/>
    </row>
    <row r="63" spans="1:4" x14ac:dyDescent="0.3">
      <c r="A63" t="s">
        <v>861</v>
      </c>
      <c r="B63" t="s">
        <v>711</v>
      </c>
      <c r="C63" s="265">
        <v>6204.04</v>
      </c>
      <c r="D63" s="248"/>
    </row>
    <row r="64" spans="1:4" x14ac:dyDescent="0.3">
      <c r="A64" t="s">
        <v>862</v>
      </c>
      <c r="B64" t="s">
        <v>711</v>
      </c>
      <c r="C64" s="265">
        <v>1038.74</v>
      </c>
      <c r="D64" s="248"/>
    </row>
    <row r="65" spans="1:4" x14ac:dyDescent="0.3">
      <c r="A65" t="s">
        <v>863</v>
      </c>
      <c r="B65" t="s">
        <v>711</v>
      </c>
      <c r="C65">
        <v>863</v>
      </c>
      <c r="D65" s="248"/>
    </row>
    <row r="66" spans="1:4" x14ac:dyDescent="0.3">
      <c r="A66" t="s">
        <v>865</v>
      </c>
      <c r="B66" t="s">
        <v>711</v>
      </c>
      <c r="C66">
        <v>9.89</v>
      </c>
      <c r="D66" s="248"/>
    </row>
    <row r="67" spans="1:4" x14ac:dyDescent="0.3">
      <c r="A67" t="s">
        <v>866</v>
      </c>
      <c r="B67" t="s">
        <v>711</v>
      </c>
      <c r="C67" s="265">
        <v>9152</v>
      </c>
      <c r="D67" s="248"/>
    </row>
    <row r="68" spans="1:4" x14ac:dyDescent="0.3">
      <c r="A68" t="s">
        <v>867</v>
      </c>
      <c r="B68" t="s">
        <v>711</v>
      </c>
      <c r="C68">
        <v>2</v>
      </c>
      <c r="D68" s="248"/>
    </row>
    <row r="69" spans="1:4" x14ac:dyDescent="0.3">
      <c r="A69" t="s">
        <v>869</v>
      </c>
      <c r="B69" t="s">
        <v>711</v>
      </c>
      <c r="C69" s="265">
        <v>5077.25</v>
      </c>
      <c r="D69" s="248"/>
    </row>
    <row r="70" spans="1:4" x14ac:dyDescent="0.3">
      <c r="A70" t="s">
        <v>870</v>
      </c>
      <c r="B70" t="s">
        <v>711</v>
      </c>
      <c r="C70" s="265">
        <v>1081</v>
      </c>
      <c r="D70" s="248"/>
    </row>
    <row r="71" spans="1:4" x14ac:dyDescent="0.3">
      <c r="A71" t="s">
        <v>871</v>
      </c>
      <c r="B71" t="s">
        <v>711</v>
      </c>
      <c r="C71" s="265">
        <v>3745.32</v>
      </c>
      <c r="D71" s="248"/>
    </row>
    <row r="72" spans="1:4" x14ac:dyDescent="0.3">
      <c r="A72" t="s">
        <v>872</v>
      </c>
      <c r="B72" t="s">
        <v>711</v>
      </c>
      <c r="C72" s="265">
        <v>1170.56</v>
      </c>
      <c r="D72" s="248"/>
    </row>
    <row r="73" spans="1:4" x14ac:dyDescent="0.3">
      <c r="A73" t="s">
        <v>873</v>
      </c>
      <c r="B73" t="s">
        <v>711</v>
      </c>
      <c r="C73" s="265">
        <v>6210</v>
      </c>
      <c r="D73" s="248"/>
    </row>
    <row r="74" spans="1:4" x14ac:dyDescent="0.3">
      <c r="A74" t="s">
        <v>874</v>
      </c>
      <c r="B74" t="s">
        <v>711</v>
      </c>
      <c r="C74">
        <v>147842</v>
      </c>
      <c r="D74" s="248"/>
    </row>
    <row r="75" spans="1:4" x14ac:dyDescent="0.3">
      <c r="A75" t="s">
        <v>875</v>
      </c>
      <c r="B75" t="s">
        <v>711</v>
      </c>
      <c r="C75" s="265">
        <v>2400</v>
      </c>
      <c r="D75" s="248"/>
    </row>
    <row r="76" spans="1:4" x14ac:dyDescent="0.3">
      <c r="A76" t="s">
        <v>877</v>
      </c>
      <c r="B76" t="s">
        <v>711</v>
      </c>
      <c r="C76">
        <v>2525316.2400000002</v>
      </c>
      <c r="D76" s="248"/>
    </row>
    <row r="77" spans="1:4" x14ac:dyDescent="0.3">
      <c r="A77" t="s">
        <v>878</v>
      </c>
      <c r="B77" t="s">
        <v>711</v>
      </c>
      <c r="C77" s="265">
        <v>7632</v>
      </c>
      <c r="D77" s="248"/>
    </row>
    <row r="78" spans="1:4" x14ac:dyDescent="0.3">
      <c r="A78" t="s">
        <v>879</v>
      </c>
      <c r="B78" t="s">
        <v>711</v>
      </c>
      <c r="C78" s="265">
        <v>2405.92</v>
      </c>
      <c r="D78" s="248"/>
    </row>
    <row r="79" spans="1:4" x14ac:dyDescent="0.3">
      <c r="A79" t="s">
        <v>881</v>
      </c>
      <c r="B79" t="s">
        <v>711</v>
      </c>
      <c r="C79">
        <v>689031</v>
      </c>
      <c r="D79" s="248"/>
    </row>
    <row r="80" spans="1:4" x14ac:dyDescent="0.3">
      <c r="A80" t="s">
        <v>882</v>
      </c>
      <c r="B80" t="s">
        <v>711</v>
      </c>
      <c r="C80" s="265">
        <v>9197</v>
      </c>
      <c r="D80" s="248"/>
    </row>
    <row r="81" spans="1:4" x14ac:dyDescent="0.3">
      <c r="A81" t="s">
        <v>1206</v>
      </c>
      <c r="B81" t="s">
        <v>711</v>
      </c>
      <c r="C81">
        <v>1</v>
      </c>
      <c r="D81" s="248"/>
    </row>
    <row r="82" spans="1:4" x14ac:dyDescent="0.3">
      <c r="A82" t="s">
        <v>887</v>
      </c>
      <c r="B82" t="s">
        <v>711</v>
      </c>
      <c r="C82" s="265">
        <v>7887</v>
      </c>
      <c r="D82" s="248"/>
    </row>
    <row r="83" spans="1:4" x14ac:dyDescent="0.3">
      <c r="A83" t="s">
        <v>888</v>
      </c>
      <c r="B83" t="s">
        <v>711</v>
      </c>
      <c r="C83">
        <v>7516432</v>
      </c>
      <c r="D83" s="248"/>
    </row>
    <row r="84" spans="1:4" x14ac:dyDescent="0.3">
      <c r="A84" t="s">
        <v>889</v>
      </c>
      <c r="B84" t="s">
        <v>711</v>
      </c>
      <c r="C84" s="265">
        <v>26311</v>
      </c>
      <c r="D84" s="248"/>
    </row>
    <row r="85" spans="1:4" x14ac:dyDescent="0.3">
      <c r="A85" t="s">
        <v>1210</v>
      </c>
      <c r="B85" t="s">
        <v>711</v>
      </c>
      <c r="C85">
        <v>121800</v>
      </c>
      <c r="D85" s="248"/>
    </row>
    <row r="86" spans="1:4" x14ac:dyDescent="0.3">
      <c r="A86" t="s">
        <v>898</v>
      </c>
      <c r="B86" t="s">
        <v>711</v>
      </c>
      <c r="C86" s="265">
        <v>4580.8</v>
      </c>
      <c r="D86" s="248"/>
    </row>
    <row r="87" spans="1:4" x14ac:dyDescent="0.3">
      <c r="A87" s="248"/>
      <c r="B87" s="248"/>
      <c r="C87" s="248"/>
      <c r="D87" s="248"/>
    </row>
    <row r="88" spans="1:4" x14ac:dyDescent="0.3">
      <c r="A88" s="248"/>
      <c r="B88" s="248">
        <f>SUM(B3:B87)</f>
        <v>19359421.710000001</v>
      </c>
      <c r="C88" s="248">
        <f>SUM(C41:C87)</f>
        <v>12631885.800000001</v>
      </c>
      <c r="D88" s="248"/>
    </row>
    <row r="89" spans="1:4" x14ac:dyDescent="0.3">
      <c r="A89" s="248"/>
      <c r="B89" s="248"/>
      <c r="C89" s="248"/>
      <c r="D89" s="248"/>
    </row>
    <row r="90" spans="1:4" x14ac:dyDescent="0.3">
      <c r="A90" s="248"/>
      <c r="B90" s="248">
        <f>+B88-C88</f>
        <v>6727535.9100000001</v>
      </c>
      <c r="C90" s="248"/>
      <c r="D90" s="248"/>
    </row>
    <row r="91" spans="1:4" x14ac:dyDescent="0.3">
      <c r="A91" s="248"/>
      <c r="B91" s="248"/>
      <c r="C91" s="248"/>
      <c r="D91" s="248"/>
    </row>
    <row r="92" spans="1:4" x14ac:dyDescent="0.3">
      <c r="A92" s="248"/>
      <c r="B92" s="248"/>
      <c r="C92" s="248"/>
      <c r="D92" s="248"/>
    </row>
    <row r="93" spans="1:4" x14ac:dyDescent="0.3">
      <c r="A93" s="248" t="s">
        <v>1314</v>
      </c>
      <c r="B93" s="248">
        <f>+B88-B94</f>
        <v>5010221.7100000009</v>
      </c>
      <c r="C93" s="248"/>
      <c r="D93" s="248"/>
    </row>
    <row r="94" spans="1:4" x14ac:dyDescent="0.3">
      <c r="A94" s="248" t="s">
        <v>1315</v>
      </c>
      <c r="B94" s="248">
        <f>+B40</f>
        <v>14349200</v>
      </c>
      <c r="C94" s="248"/>
      <c r="D94" s="248"/>
    </row>
    <row r="95" spans="1:4" x14ac:dyDescent="0.3">
      <c r="A95" s="248" t="s">
        <v>1316</v>
      </c>
      <c r="B95" s="248">
        <f>+C88</f>
        <v>12631885.800000001</v>
      </c>
      <c r="C95" s="248"/>
      <c r="D95" s="248"/>
    </row>
    <row r="96" spans="1:4" x14ac:dyDescent="0.3">
      <c r="A96" s="248"/>
      <c r="B96" s="248"/>
      <c r="C96" s="248"/>
      <c r="D96" s="248"/>
    </row>
    <row r="97" spans="1:4" x14ac:dyDescent="0.3">
      <c r="A97" s="248"/>
      <c r="B97" s="248"/>
      <c r="C97" s="248"/>
      <c r="D97" s="248"/>
    </row>
    <row r="98" spans="1:4" x14ac:dyDescent="0.3">
      <c r="A98" s="248"/>
      <c r="B98" s="248"/>
      <c r="C98" s="248"/>
      <c r="D98" s="248"/>
    </row>
    <row r="99" spans="1:4" x14ac:dyDescent="0.3">
      <c r="A99" s="248"/>
      <c r="B99" s="248"/>
      <c r="C99" s="248"/>
      <c r="D99" s="248"/>
    </row>
    <row r="100" spans="1:4" x14ac:dyDescent="0.3">
      <c r="A100" s="248"/>
      <c r="B100" s="248"/>
      <c r="C100" s="248"/>
      <c r="D100" s="248"/>
    </row>
    <row r="101" spans="1:4" x14ac:dyDescent="0.3">
      <c r="A101" s="248"/>
      <c r="B101" s="248"/>
      <c r="C101" s="248"/>
      <c r="D101" s="248"/>
    </row>
    <row r="102" spans="1:4" x14ac:dyDescent="0.3">
      <c r="A102" s="248"/>
      <c r="B102" s="248"/>
      <c r="C102" s="248"/>
      <c r="D102" s="248"/>
    </row>
    <row r="103" spans="1:4" x14ac:dyDescent="0.3">
      <c r="A103" s="248"/>
      <c r="B103" s="248"/>
      <c r="C103" s="248"/>
      <c r="D103" s="248"/>
    </row>
    <row r="104" spans="1:4" x14ac:dyDescent="0.3">
      <c r="A104" s="248"/>
      <c r="B104" s="248"/>
      <c r="C104" s="248"/>
      <c r="D104" s="248"/>
    </row>
    <row r="105" spans="1:4" x14ac:dyDescent="0.3">
      <c r="A105" s="248"/>
      <c r="B105" s="248"/>
      <c r="C105" s="248"/>
      <c r="D105" s="248"/>
    </row>
    <row r="106" spans="1:4" x14ac:dyDescent="0.3">
      <c r="A106" s="248"/>
      <c r="B106" s="248"/>
      <c r="C106" s="248"/>
      <c r="D106" s="248"/>
    </row>
    <row r="107" spans="1:4" x14ac:dyDescent="0.3">
      <c r="A107" s="248"/>
      <c r="B107" s="248"/>
      <c r="C107" s="248"/>
      <c r="D107" s="248"/>
    </row>
    <row r="108" spans="1:4" x14ac:dyDescent="0.3">
      <c r="A108" s="248"/>
      <c r="B108" s="248"/>
      <c r="C108" s="248"/>
      <c r="D108" s="248"/>
    </row>
    <row r="109" spans="1:4" x14ac:dyDescent="0.3">
      <c r="A109" s="248"/>
      <c r="B109" s="248"/>
      <c r="C109" s="248"/>
      <c r="D109" s="248"/>
    </row>
    <row r="110" spans="1:4" x14ac:dyDescent="0.3">
      <c r="A110" s="248"/>
      <c r="B110" s="248"/>
      <c r="C110" s="248"/>
      <c r="D110" s="248"/>
    </row>
    <row r="111" spans="1:4" x14ac:dyDescent="0.3">
      <c r="A111" s="248"/>
      <c r="B111" s="248"/>
      <c r="C111" s="248"/>
      <c r="D111" s="248"/>
    </row>
    <row r="112" spans="1:4" x14ac:dyDescent="0.3">
      <c r="A112" s="248"/>
      <c r="B112" s="248"/>
      <c r="C112" s="248"/>
      <c r="D112" s="248"/>
    </row>
    <row r="113" spans="1:4" x14ac:dyDescent="0.3">
      <c r="A113" s="248"/>
      <c r="B113" s="248"/>
      <c r="C113" s="248"/>
      <c r="D113" s="248"/>
    </row>
    <row r="114" spans="1:4" x14ac:dyDescent="0.3">
      <c r="A114" s="248"/>
      <c r="B114" s="248"/>
      <c r="C114" s="248"/>
      <c r="D114" s="248"/>
    </row>
    <row r="115" spans="1:4" x14ac:dyDescent="0.3">
      <c r="A115" s="248"/>
      <c r="B115" s="248"/>
      <c r="C115" s="248"/>
      <c r="D115" s="248"/>
    </row>
    <row r="116" spans="1:4" x14ac:dyDescent="0.3">
      <c r="A116" s="248"/>
      <c r="B116" s="248"/>
      <c r="C116" s="248"/>
      <c r="D116" s="248"/>
    </row>
    <row r="117" spans="1:4" x14ac:dyDescent="0.3">
      <c r="A117" s="248"/>
      <c r="B117" s="248"/>
      <c r="C117" s="248"/>
      <c r="D117" s="248"/>
    </row>
    <row r="118" spans="1:4" x14ac:dyDescent="0.3">
      <c r="A118" s="248"/>
      <c r="B118" s="248"/>
      <c r="C118" s="248"/>
      <c r="D118" s="248"/>
    </row>
    <row r="119" spans="1:4" x14ac:dyDescent="0.3">
      <c r="A119" s="248"/>
      <c r="B119" s="248"/>
      <c r="C119" s="248"/>
      <c r="D119" s="248"/>
    </row>
    <row r="120" spans="1:4" x14ac:dyDescent="0.3">
      <c r="A120" s="248"/>
      <c r="B120" s="248"/>
      <c r="C120" s="248"/>
      <c r="D120" s="248"/>
    </row>
    <row r="121" spans="1:4" x14ac:dyDescent="0.3">
      <c r="A121" s="248"/>
      <c r="B121" s="248"/>
      <c r="C121" s="248"/>
      <c r="D121" s="248"/>
    </row>
    <row r="122" spans="1:4" x14ac:dyDescent="0.3">
      <c r="A122" s="248"/>
      <c r="B122" s="248"/>
      <c r="C122" s="248"/>
      <c r="D122" s="248"/>
    </row>
    <row r="123" spans="1:4" x14ac:dyDescent="0.3">
      <c r="A123" s="248"/>
      <c r="B123" s="248"/>
      <c r="C123" s="248"/>
      <c r="D123" s="248"/>
    </row>
    <row r="124" spans="1:4" x14ac:dyDescent="0.3">
      <c r="A124" s="248"/>
      <c r="B124" s="248"/>
      <c r="C124" s="248"/>
      <c r="D124" s="248"/>
    </row>
    <row r="125" spans="1:4" x14ac:dyDescent="0.3">
      <c r="A125" s="248"/>
      <c r="B125" s="248"/>
      <c r="C125" s="248"/>
      <c r="D125" s="248"/>
    </row>
    <row r="126" spans="1:4" x14ac:dyDescent="0.3">
      <c r="A126" s="248"/>
      <c r="B126" s="248"/>
      <c r="C126" s="248"/>
      <c r="D126" s="248"/>
    </row>
    <row r="127" spans="1:4" x14ac:dyDescent="0.3">
      <c r="A127" s="248"/>
      <c r="B127" s="248"/>
      <c r="C127" s="248"/>
      <c r="D127" s="248"/>
    </row>
    <row r="128" spans="1:4" x14ac:dyDescent="0.3">
      <c r="A128" s="248"/>
      <c r="B128" s="248"/>
      <c r="C128" s="248"/>
      <c r="D128" s="248"/>
    </row>
    <row r="129" spans="1:4" x14ac:dyDescent="0.3">
      <c r="A129" s="248"/>
      <c r="B129" s="248"/>
      <c r="C129" s="248"/>
      <c r="D129" s="248"/>
    </row>
    <row r="130" spans="1:4" x14ac:dyDescent="0.3">
      <c r="A130" s="248"/>
      <c r="B130" s="248"/>
      <c r="C130" s="248"/>
      <c r="D130" s="248"/>
    </row>
    <row r="131" spans="1:4" x14ac:dyDescent="0.3">
      <c r="A131" s="248"/>
      <c r="B131" s="248"/>
      <c r="C131" s="248"/>
      <c r="D131" s="248"/>
    </row>
    <row r="132" spans="1:4" x14ac:dyDescent="0.3">
      <c r="A132" s="248"/>
      <c r="B132" s="248"/>
      <c r="C132" s="248"/>
      <c r="D132" s="248"/>
    </row>
    <row r="133" spans="1:4" x14ac:dyDescent="0.3">
      <c r="A133" s="248"/>
      <c r="B133" s="248"/>
      <c r="C133" s="248"/>
      <c r="D133" s="248"/>
    </row>
    <row r="134" spans="1:4" x14ac:dyDescent="0.3">
      <c r="A134" s="248"/>
      <c r="B134" s="248"/>
      <c r="C134" s="248"/>
      <c r="D134" s="248"/>
    </row>
    <row r="135" spans="1:4" x14ac:dyDescent="0.3">
      <c r="A135" s="248"/>
      <c r="B135" s="248"/>
      <c r="C135" s="248"/>
      <c r="D135" s="248"/>
    </row>
    <row r="136" spans="1:4" x14ac:dyDescent="0.3">
      <c r="A136" s="248"/>
      <c r="B136" s="248"/>
      <c r="C136" s="248"/>
      <c r="D136" s="248"/>
    </row>
    <row r="137" spans="1:4" x14ac:dyDescent="0.3">
      <c r="A137" s="248"/>
      <c r="B137" s="248"/>
      <c r="C137" s="248"/>
      <c r="D137" s="248"/>
    </row>
    <row r="138" spans="1:4" x14ac:dyDescent="0.3">
      <c r="A138" s="248"/>
      <c r="B138" s="248"/>
      <c r="C138" s="248"/>
      <c r="D138" s="248"/>
    </row>
    <row r="139" spans="1:4" x14ac:dyDescent="0.3">
      <c r="A139" s="248"/>
      <c r="B139" s="248"/>
      <c r="C139" s="248"/>
      <c r="D139" s="248"/>
    </row>
    <row r="140" spans="1:4" x14ac:dyDescent="0.3">
      <c r="A140" s="248"/>
      <c r="B140" s="248"/>
      <c r="C140" s="248"/>
      <c r="D140" s="248"/>
    </row>
    <row r="141" spans="1:4" x14ac:dyDescent="0.3">
      <c r="A141" s="248"/>
      <c r="B141" s="248"/>
      <c r="C141" s="248"/>
      <c r="D141" s="248"/>
    </row>
    <row r="142" spans="1:4" x14ac:dyDescent="0.3">
      <c r="A142" s="248"/>
      <c r="B142" s="248"/>
      <c r="C142" s="248"/>
      <c r="D142" s="248"/>
    </row>
    <row r="143" spans="1:4" x14ac:dyDescent="0.3">
      <c r="A143" s="248"/>
      <c r="B143" s="248"/>
      <c r="C143" s="248"/>
      <c r="D143" s="248"/>
    </row>
    <row r="144" spans="1:4" x14ac:dyDescent="0.3">
      <c r="A144" s="248"/>
      <c r="B144" s="248"/>
      <c r="C144" s="248"/>
      <c r="D144" s="248"/>
    </row>
    <row r="145" spans="1:4" x14ac:dyDescent="0.3">
      <c r="A145" s="248"/>
      <c r="B145" s="248"/>
      <c r="C145" s="248"/>
      <c r="D145" s="248"/>
    </row>
    <row r="146" spans="1:4" x14ac:dyDescent="0.3">
      <c r="A146" s="248"/>
      <c r="B146" s="248"/>
      <c r="C146" s="248"/>
      <c r="D146" s="248"/>
    </row>
    <row r="147" spans="1:4" x14ac:dyDescent="0.3">
      <c r="A147" s="248"/>
      <c r="B147" s="248"/>
      <c r="C147" s="248"/>
      <c r="D147" s="248"/>
    </row>
    <row r="148" spans="1:4" x14ac:dyDescent="0.3">
      <c r="A148" s="248"/>
      <c r="B148" s="248"/>
      <c r="C148" s="248"/>
      <c r="D148" s="248"/>
    </row>
    <row r="149" spans="1:4" x14ac:dyDescent="0.3">
      <c r="A149" s="248"/>
      <c r="B149" s="248"/>
      <c r="C149" s="248"/>
      <c r="D149" s="248"/>
    </row>
    <row r="150" spans="1:4" x14ac:dyDescent="0.3">
      <c r="A150" s="248"/>
      <c r="B150" s="248"/>
      <c r="C150" s="248"/>
      <c r="D150" s="248"/>
    </row>
    <row r="151" spans="1:4" x14ac:dyDescent="0.3">
      <c r="A151" s="248"/>
      <c r="B151" s="248"/>
      <c r="C151" s="248"/>
      <c r="D151" s="248"/>
    </row>
    <row r="152" spans="1:4" x14ac:dyDescent="0.3">
      <c r="A152" s="248"/>
      <c r="B152" s="248"/>
      <c r="C152" s="248"/>
      <c r="D152" s="248"/>
    </row>
    <row r="153" spans="1:4" x14ac:dyDescent="0.3">
      <c r="A153" s="248"/>
      <c r="B153" s="248"/>
      <c r="C153" s="248"/>
      <c r="D153" s="248"/>
    </row>
    <row r="154" spans="1:4" x14ac:dyDescent="0.3">
      <c r="A154" s="248"/>
      <c r="B154" s="248"/>
      <c r="C154" s="248"/>
      <c r="D154" s="248"/>
    </row>
    <row r="155" spans="1:4" x14ac:dyDescent="0.3">
      <c r="A155" s="248"/>
      <c r="B155" s="248"/>
      <c r="C155" s="248"/>
      <c r="D155" s="248"/>
    </row>
    <row r="156" spans="1:4" x14ac:dyDescent="0.3">
      <c r="A156" s="248"/>
      <c r="B156" s="248"/>
      <c r="C156" s="248"/>
      <c r="D156" s="248"/>
    </row>
    <row r="157" spans="1:4" x14ac:dyDescent="0.3">
      <c r="A157" s="248"/>
      <c r="B157" s="248"/>
      <c r="C157" s="248"/>
      <c r="D157" s="248"/>
    </row>
    <row r="158" spans="1:4" x14ac:dyDescent="0.3">
      <c r="A158" s="248"/>
      <c r="B158" s="248"/>
      <c r="C158" s="248"/>
      <c r="D158" s="248"/>
    </row>
    <row r="159" spans="1:4" x14ac:dyDescent="0.3">
      <c r="A159" s="248"/>
      <c r="B159" s="248"/>
      <c r="C159" s="248"/>
      <c r="D159" s="248"/>
    </row>
    <row r="160" spans="1:4" x14ac:dyDescent="0.3">
      <c r="A160" s="248"/>
      <c r="B160" s="248"/>
      <c r="C160" s="248"/>
      <c r="D160" s="248"/>
    </row>
    <row r="161" spans="1:4" x14ac:dyDescent="0.3">
      <c r="A161" s="248"/>
      <c r="B161" s="248"/>
      <c r="C161" s="248"/>
      <c r="D161" s="248"/>
    </row>
    <row r="162" spans="1:4" x14ac:dyDescent="0.3">
      <c r="A162" s="248"/>
      <c r="B162" s="248"/>
      <c r="C162" s="248"/>
      <c r="D162" s="248"/>
    </row>
    <row r="163" spans="1:4" x14ac:dyDescent="0.3">
      <c r="A163" s="248"/>
      <c r="B163" s="248"/>
      <c r="C163" s="248"/>
      <c r="D163" s="248"/>
    </row>
    <row r="164" spans="1:4" x14ac:dyDescent="0.3">
      <c r="A164" s="248"/>
      <c r="B164" s="248"/>
      <c r="C164" s="248"/>
      <c r="D164" s="248"/>
    </row>
    <row r="165" spans="1:4" x14ac:dyDescent="0.3">
      <c r="A165" s="248"/>
      <c r="B165" s="248"/>
      <c r="C165" s="248"/>
      <c r="D165" s="248"/>
    </row>
    <row r="166" spans="1:4" x14ac:dyDescent="0.3">
      <c r="A166" s="248"/>
      <c r="B166" s="248"/>
      <c r="C166" s="248"/>
      <c r="D166" s="248"/>
    </row>
    <row r="167" spans="1:4" x14ac:dyDescent="0.3">
      <c r="A167" s="248"/>
      <c r="B167" s="248"/>
      <c r="C167" s="248"/>
      <c r="D167" s="248"/>
    </row>
    <row r="168" spans="1:4" x14ac:dyDescent="0.3">
      <c r="A168" s="248"/>
      <c r="B168" s="248"/>
      <c r="C168" s="248"/>
      <c r="D168" s="248"/>
    </row>
    <row r="169" spans="1:4" x14ac:dyDescent="0.3">
      <c r="A169" s="248"/>
      <c r="B169" s="248"/>
      <c r="C169" s="248"/>
      <c r="D169" s="248"/>
    </row>
    <row r="170" spans="1:4" x14ac:dyDescent="0.3">
      <c r="A170" s="248"/>
      <c r="B170" s="248"/>
      <c r="C170" s="248"/>
      <c r="D170" s="248"/>
    </row>
    <row r="171" spans="1:4" x14ac:dyDescent="0.3">
      <c r="A171" s="248"/>
      <c r="B171" s="248"/>
      <c r="C171" s="248"/>
      <c r="D171" s="248"/>
    </row>
    <row r="172" spans="1:4" x14ac:dyDescent="0.3">
      <c r="A172" s="248"/>
      <c r="B172" s="248"/>
      <c r="C172" s="248"/>
      <c r="D172" s="248"/>
    </row>
    <row r="173" spans="1:4" x14ac:dyDescent="0.3">
      <c r="A173" s="248"/>
      <c r="B173" s="248"/>
      <c r="C173" s="248"/>
      <c r="D173" s="248"/>
    </row>
    <row r="174" spans="1:4" x14ac:dyDescent="0.3">
      <c r="A174" s="248"/>
      <c r="B174" s="248"/>
      <c r="C174" s="248"/>
      <c r="D174" s="248"/>
    </row>
    <row r="175" spans="1:4" x14ac:dyDescent="0.3">
      <c r="A175" s="248"/>
      <c r="B175" s="248"/>
      <c r="C175" s="248"/>
      <c r="D175" s="248"/>
    </row>
    <row r="176" spans="1:4" x14ac:dyDescent="0.3">
      <c r="A176" s="248"/>
      <c r="B176" s="248"/>
      <c r="C176" s="248"/>
      <c r="D176" s="248"/>
    </row>
    <row r="177" spans="1:4" x14ac:dyDescent="0.3">
      <c r="A177" s="248"/>
      <c r="B177" s="248"/>
      <c r="C177" s="248"/>
      <c r="D177" s="248"/>
    </row>
    <row r="178" spans="1:4" x14ac:dyDescent="0.3">
      <c r="A178" s="248"/>
      <c r="B178" s="248"/>
      <c r="C178" s="248"/>
      <c r="D178" s="248"/>
    </row>
    <row r="179" spans="1:4" x14ac:dyDescent="0.3">
      <c r="A179" s="248"/>
      <c r="B179" s="248"/>
      <c r="C179" s="248"/>
      <c r="D179" s="248"/>
    </row>
    <row r="180" spans="1:4" x14ac:dyDescent="0.3">
      <c r="A180" s="248"/>
      <c r="B180" s="248"/>
      <c r="C180" s="248"/>
      <c r="D180" s="248"/>
    </row>
    <row r="181" spans="1:4" x14ac:dyDescent="0.3">
      <c r="A181" s="248"/>
      <c r="B181" s="248"/>
      <c r="C181" s="248"/>
      <c r="D181" s="248"/>
    </row>
    <row r="182" spans="1:4" x14ac:dyDescent="0.3">
      <c r="A182" s="248"/>
      <c r="B182" s="248"/>
      <c r="C182" s="248"/>
      <c r="D182" s="248"/>
    </row>
    <row r="183" spans="1:4" x14ac:dyDescent="0.3">
      <c r="A183" s="248"/>
      <c r="B183" s="248"/>
      <c r="C183" s="248"/>
      <c r="D183" s="248"/>
    </row>
    <row r="184" spans="1:4" x14ac:dyDescent="0.3">
      <c r="A184" s="248"/>
      <c r="B184" s="248"/>
      <c r="C184" s="248"/>
      <c r="D184" s="248"/>
    </row>
    <row r="185" spans="1:4" x14ac:dyDescent="0.3">
      <c r="A185" s="248"/>
      <c r="B185" s="248"/>
      <c r="C185" s="248"/>
      <c r="D185" s="248"/>
    </row>
    <row r="186" spans="1:4" x14ac:dyDescent="0.3">
      <c r="A186" s="248"/>
      <c r="B186" s="248"/>
      <c r="C186" s="248"/>
      <c r="D186" s="248"/>
    </row>
    <row r="187" spans="1:4" x14ac:dyDescent="0.3">
      <c r="A187" s="248"/>
      <c r="B187" s="248"/>
      <c r="C187" s="248"/>
      <c r="D187" s="248"/>
    </row>
    <row r="188" spans="1:4" x14ac:dyDescent="0.3">
      <c r="A188" s="248"/>
      <c r="B188" s="248"/>
      <c r="C188" s="248"/>
      <c r="D188" s="248"/>
    </row>
    <row r="189" spans="1:4" x14ac:dyDescent="0.3">
      <c r="A189" s="248"/>
      <c r="B189" s="248"/>
      <c r="C189" s="248"/>
      <c r="D189" s="248"/>
    </row>
    <row r="190" spans="1:4" x14ac:dyDescent="0.3">
      <c r="A190" s="248"/>
      <c r="B190" s="248"/>
      <c r="C190" s="248"/>
      <c r="D190" s="248"/>
    </row>
    <row r="191" spans="1:4" x14ac:dyDescent="0.3">
      <c r="A191" s="248"/>
      <c r="B191" s="248"/>
      <c r="C191" s="248"/>
      <c r="D191" s="248"/>
    </row>
    <row r="192" spans="1:4" x14ac:dyDescent="0.3">
      <c r="A192" s="248"/>
      <c r="B192" s="248"/>
      <c r="C192" s="248"/>
      <c r="D192" s="248"/>
    </row>
    <row r="193" spans="1:4" x14ac:dyDescent="0.3">
      <c r="A193" s="248"/>
      <c r="B193" s="248"/>
      <c r="C193" s="248"/>
      <c r="D193" s="248"/>
    </row>
    <row r="194" spans="1:4" x14ac:dyDescent="0.3">
      <c r="A194" s="248"/>
      <c r="B194" s="248"/>
      <c r="C194" s="248"/>
      <c r="D194" s="248"/>
    </row>
    <row r="195" spans="1:4" x14ac:dyDescent="0.3">
      <c r="A195" s="248"/>
      <c r="B195" s="248"/>
      <c r="C195" s="248"/>
      <c r="D195" s="248"/>
    </row>
    <row r="196" spans="1:4" x14ac:dyDescent="0.3">
      <c r="A196" s="248"/>
      <c r="B196" s="248"/>
      <c r="C196" s="248"/>
      <c r="D196" s="248"/>
    </row>
    <row r="197" spans="1:4" x14ac:dyDescent="0.3">
      <c r="A197" s="248"/>
      <c r="B197" s="248"/>
      <c r="C197" s="248"/>
      <c r="D197" s="248"/>
    </row>
    <row r="198" spans="1:4" x14ac:dyDescent="0.3">
      <c r="A198" s="248"/>
      <c r="B198" s="248"/>
      <c r="C198" s="248"/>
      <c r="D198" s="248"/>
    </row>
    <row r="199" spans="1:4" x14ac:dyDescent="0.3">
      <c r="A199" s="248"/>
      <c r="B199" s="248"/>
      <c r="C199" s="248"/>
      <c r="D199" s="248"/>
    </row>
    <row r="200" spans="1:4" x14ac:dyDescent="0.3">
      <c r="A200" s="248"/>
      <c r="B200" s="248"/>
      <c r="C200" s="248"/>
      <c r="D200" s="248"/>
    </row>
    <row r="201" spans="1:4" x14ac:dyDescent="0.3">
      <c r="A201" s="248"/>
      <c r="B201" s="248"/>
      <c r="C201" s="248"/>
      <c r="D201" s="248"/>
    </row>
    <row r="202" spans="1:4" x14ac:dyDescent="0.3">
      <c r="A202" s="248"/>
      <c r="B202" s="248"/>
      <c r="C202" s="248"/>
      <c r="D202" s="248"/>
    </row>
    <row r="203" spans="1:4" x14ac:dyDescent="0.3">
      <c r="A203" s="248"/>
      <c r="B203" s="248"/>
      <c r="C203" s="248"/>
      <c r="D203" s="248"/>
    </row>
    <row r="204" spans="1:4" x14ac:dyDescent="0.3">
      <c r="A204" s="248"/>
      <c r="B204" s="248"/>
      <c r="C204" s="248"/>
      <c r="D204" s="248"/>
    </row>
    <row r="205" spans="1:4" x14ac:dyDescent="0.3">
      <c r="A205" s="248"/>
      <c r="B205" s="248"/>
      <c r="C205" s="248"/>
      <c r="D205" s="248"/>
    </row>
    <row r="206" spans="1:4" x14ac:dyDescent="0.3">
      <c r="A206" s="248"/>
      <c r="B206" s="248"/>
      <c r="C206" s="248"/>
      <c r="D206" s="248"/>
    </row>
    <row r="207" spans="1:4" x14ac:dyDescent="0.3">
      <c r="A207" s="248"/>
      <c r="B207" s="248"/>
      <c r="C207" s="248"/>
      <c r="D207" s="248"/>
    </row>
    <row r="208" spans="1:4" x14ac:dyDescent="0.3">
      <c r="A208" s="248"/>
      <c r="B208" s="248"/>
      <c r="C208" s="248"/>
      <c r="D208" s="248"/>
    </row>
    <row r="209" spans="1:4" x14ac:dyDescent="0.3">
      <c r="A209" s="248"/>
      <c r="B209" s="248"/>
      <c r="C209" s="248"/>
      <c r="D209" s="248"/>
    </row>
    <row r="210" spans="1:4" x14ac:dyDescent="0.3">
      <c r="A210" s="248"/>
      <c r="B210" s="248"/>
      <c r="C210" s="248"/>
      <c r="D210" s="248"/>
    </row>
    <row r="211" spans="1:4" x14ac:dyDescent="0.3">
      <c r="A211" s="248"/>
      <c r="B211" s="248"/>
      <c r="C211" s="248"/>
      <c r="D211" s="248"/>
    </row>
    <row r="212" spans="1:4" x14ac:dyDescent="0.3">
      <c r="A212" s="248"/>
      <c r="B212" s="248"/>
      <c r="C212" s="248"/>
      <c r="D212" s="248"/>
    </row>
    <row r="213" spans="1:4" x14ac:dyDescent="0.3">
      <c r="A213" s="248"/>
      <c r="B213" s="248"/>
      <c r="C213" s="248"/>
      <c r="D213" s="248"/>
    </row>
    <row r="214" spans="1:4" x14ac:dyDescent="0.3">
      <c r="A214" s="248"/>
      <c r="B214" s="248"/>
      <c r="C214" s="248"/>
      <c r="D214" s="248"/>
    </row>
    <row r="215" spans="1:4" x14ac:dyDescent="0.3">
      <c r="A215" s="248"/>
      <c r="B215" s="248"/>
      <c r="C215" s="248"/>
      <c r="D215" s="248"/>
    </row>
    <row r="216" spans="1:4" x14ac:dyDescent="0.3">
      <c r="A216" s="248"/>
      <c r="B216" s="248"/>
      <c r="C216" s="248"/>
      <c r="D216" s="248"/>
    </row>
    <row r="217" spans="1:4" x14ac:dyDescent="0.3">
      <c r="A217" s="248"/>
      <c r="B217" s="248"/>
      <c r="C217" s="248"/>
      <c r="D217" s="248"/>
    </row>
    <row r="218" spans="1:4" x14ac:dyDescent="0.3">
      <c r="A218" s="248"/>
      <c r="B218" s="248"/>
      <c r="C218" s="248"/>
      <c r="D218" s="248"/>
    </row>
    <row r="219" spans="1:4" x14ac:dyDescent="0.3">
      <c r="A219" s="248"/>
      <c r="B219" s="248"/>
      <c r="C219" s="248"/>
      <c r="D219" s="248"/>
    </row>
    <row r="220" spans="1:4" x14ac:dyDescent="0.3">
      <c r="A220" s="248"/>
      <c r="B220" s="248"/>
      <c r="C220" s="248"/>
      <c r="D220" s="248"/>
    </row>
    <row r="221" spans="1:4" x14ac:dyDescent="0.3">
      <c r="A221" s="248"/>
      <c r="B221" s="248"/>
      <c r="C221" s="248"/>
      <c r="D221" s="248"/>
    </row>
    <row r="222" spans="1:4" x14ac:dyDescent="0.3">
      <c r="A222" s="248"/>
      <c r="B222" s="248"/>
      <c r="C222" s="248"/>
      <c r="D222" s="248"/>
    </row>
    <row r="223" spans="1:4" x14ac:dyDescent="0.3">
      <c r="A223" s="248"/>
      <c r="B223" s="248"/>
      <c r="C223" s="248"/>
      <c r="D223" s="248"/>
    </row>
    <row r="224" spans="1:4" x14ac:dyDescent="0.3">
      <c r="A224" s="248"/>
      <c r="B224" s="248"/>
      <c r="C224" s="248"/>
      <c r="D224" s="248"/>
    </row>
    <row r="225" spans="1:4" x14ac:dyDescent="0.3">
      <c r="A225" s="248"/>
      <c r="B225" s="248"/>
      <c r="C225" s="248"/>
      <c r="D225" s="248"/>
    </row>
    <row r="226" spans="1:4" x14ac:dyDescent="0.3">
      <c r="A226" s="248"/>
      <c r="B226" s="248"/>
      <c r="C226" s="248"/>
      <c r="D226" s="248"/>
    </row>
    <row r="227" spans="1:4" x14ac:dyDescent="0.3">
      <c r="A227" s="248"/>
      <c r="B227" s="248"/>
      <c r="C227" s="248"/>
      <c r="D227" s="248"/>
    </row>
    <row r="228" spans="1:4" x14ac:dyDescent="0.3">
      <c r="A228" s="248"/>
      <c r="B228" s="248"/>
      <c r="C228" s="248"/>
      <c r="D228" s="248"/>
    </row>
    <row r="229" spans="1:4" x14ac:dyDescent="0.3">
      <c r="A229" s="248"/>
      <c r="B229" s="248"/>
      <c r="C229" s="248"/>
      <c r="D229" s="248"/>
    </row>
    <row r="230" spans="1:4" x14ac:dyDescent="0.3">
      <c r="A230" s="248"/>
      <c r="B230" s="248"/>
      <c r="C230" s="248"/>
      <c r="D230" s="248"/>
    </row>
    <row r="231" spans="1:4" x14ac:dyDescent="0.3">
      <c r="A231" s="248"/>
      <c r="B231" s="248"/>
      <c r="C231" s="248"/>
      <c r="D231" s="248"/>
    </row>
    <row r="232" spans="1:4" x14ac:dyDescent="0.3">
      <c r="A232" s="248"/>
      <c r="B232" s="248"/>
      <c r="C232" s="248"/>
      <c r="D232" s="248"/>
    </row>
    <row r="233" spans="1:4" x14ac:dyDescent="0.3">
      <c r="A233" s="248"/>
      <c r="B233" s="248"/>
      <c r="C233" s="248"/>
      <c r="D233" s="248"/>
    </row>
    <row r="234" spans="1:4" x14ac:dyDescent="0.3">
      <c r="A234" s="248"/>
      <c r="B234" s="248"/>
      <c r="C234" s="248"/>
      <c r="D234" s="248"/>
    </row>
    <row r="235" spans="1:4" x14ac:dyDescent="0.3">
      <c r="A235" s="248"/>
      <c r="B235" s="248"/>
      <c r="C235" s="248"/>
      <c r="D235" s="248"/>
    </row>
    <row r="236" spans="1:4" x14ac:dyDescent="0.3">
      <c r="A236" s="248"/>
      <c r="B236" s="248"/>
      <c r="C236" s="248"/>
      <c r="D236" s="248"/>
    </row>
    <row r="237" spans="1:4" x14ac:dyDescent="0.3">
      <c r="A237" s="248"/>
      <c r="B237" s="248"/>
      <c r="C237" s="248"/>
      <c r="D237" s="248"/>
    </row>
    <row r="238" spans="1:4" x14ac:dyDescent="0.3">
      <c r="A238" s="248"/>
      <c r="B238" s="248"/>
      <c r="C238" s="248"/>
      <c r="D238" s="248"/>
    </row>
    <row r="239" spans="1:4" x14ac:dyDescent="0.3">
      <c r="A239" s="248"/>
      <c r="B239" s="248"/>
      <c r="C239" s="248"/>
      <c r="D239" s="248"/>
    </row>
    <row r="240" spans="1:4" x14ac:dyDescent="0.3">
      <c r="A240" s="248"/>
      <c r="B240" s="248"/>
      <c r="C240" s="248"/>
      <c r="D240" s="248"/>
    </row>
    <row r="241" spans="1:4" x14ac:dyDescent="0.3">
      <c r="A241" s="248"/>
      <c r="B241" s="248"/>
      <c r="C241" s="248"/>
      <c r="D241" s="248"/>
    </row>
    <row r="242" spans="1:4" x14ac:dyDescent="0.3">
      <c r="A242" s="248"/>
      <c r="B242" s="248"/>
      <c r="C242" s="248"/>
      <c r="D242" s="248"/>
    </row>
    <row r="243" spans="1:4" x14ac:dyDescent="0.3">
      <c r="A243" s="248"/>
      <c r="B243" s="248"/>
      <c r="C243" s="248"/>
      <c r="D243" s="248"/>
    </row>
    <row r="244" spans="1:4" x14ac:dyDescent="0.3">
      <c r="A244" s="248"/>
      <c r="B244" s="248"/>
      <c r="C244" s="248"/>
      <c r="D244" s="248"/>
    </row>
    <row r="245" spans="1:4" x14ac:dyDescent="0.3">
      <c r="A245" s="248"/>
      <c r="B245" s="248"/>
      <c r="C245" s="248"/>
      <c r="D245" s="248"/>
    </row>
    <row r="246" spans="1:4" x14ac:dyDescent="0.3">
      <c r="A246" s="248"/>
      <c r="B246" s="248"/>
      <c r="C246" s="248"/>
      <c r="D246" s="248"/>
    </row>
    <row r="247" spans="1:4" x14ac:dyDescent="0.3">
      <c r="A247" s="248"/>
      <c r="B247" s="248"/>
      <c r="C247" s="248"/>
      <c r="D247" s="248"/>
    </row>
    <row r="248" spans="1:4" x14ac:dyDescent="0.3">
      <c r="A248" s="248"/>
      <c r="B248" s="248"/>
      <c r="C248" s="248"/>
      <c r="D248" s="248"/>
    </row>
    <row r="249" spans="1:4" x14ac:dyDescent="0.3">
      <c r="A249" s="248"/>
      <c r="B249" s="248"/>
      <c r="C249" s="248"/>
      <c r="D249" s="248"/>
    </row>
    <row r="250" spans="1:4" x14ac:dyDescent="0.3">
      <c r="A250" s="248"/>
      <c r="B250" s="248"/>
      <c r="C250" s="248"/>
      <c r="D250" s="248"/>
    </row>
    <row r="251" spans="1:4" x14ac:dyDescent="0.3">
      <c r="A251" s="248"/>
      <c r="B251" s="248"/>
      <c r="C251" s="248"/>
      <c r="D251" s="248"/>
    </row>
    <row r="252" spans="1:4" x14ac:dyDescent="0.3">
      <c r="A252" s="248"/>
      <c r="B252" s="248"/>
      <c r="C252" s="248"/>
      <c r="D252" s="248"/>
    </row>
    <row r="253" spans="1:4" x14ac:dyDescent="0.3">
      <c r="A253" s="248"/>
      <c r="B253" s="248"/>
      <c r="C253" s="248"/>
      <c r="D253" s="248"/>
    </row>
    <row r="254" spans="1:4" x14ac:dyDescent="0.3">
      <c r="A254" s="248"/>
      <c r="B254" s="248"/>
      <c r="C254" s="248"/>
      <c r="D254" s="248"/>
    </row>
    <row r="255" spans="1:4" x14ac:dyDescent="0.3">
      <c r="A255" s="248"/>
      <c r="B255" s="248"/>
      <c r="C255" s="248"/>
      <c r="D255" s="248"/>
    </row>
    <row r="256" spans="1:4" x14ac:dyDescent="0.3">
      <c r="A256" s="248"/>
      <c r="B256" s="248"/>
      <c r="C256" s="248"/>
      <c r="D256" s="248"/>
    </row>
    <row r="257" spans="1:4" x14ac:dyDescent="0.3">
      <c r="A257" s="248"/>
      <c r="B257" s="248"/>
      <c r="C257" s="248"/>
      <c r="D257" s="248"/>
    </row>
    <row r="258" spans="1:4" x14ac:dyDescent="0.3">
      <c r="A258" s="248"/>
      <c r="B258" s="248"/>
      <c r="C258" s="248"/>
      <c r="D258" s="248"/>
    </row>
    <row r="259" spans="1:4" x14ac:dyDescent="0.3">
      <c r="A259" s="248"/>
      <c r="B259" s="248"/>
      <c r="C259" s="248"/>
      <c r="D259" s="248"/>
    </row>
    <row r="260" spans="1:4" x14ac:dyDescent="0.3">
      <c r="A260" s="248"/>
      <c r="B260" s="248"/>
      <c r="C260" s="248"/>
      <c r="D260" s="248"/>
    </row>
    <row r="261" spans="1:4" x14ac:dyDescent="0.3">
      <c r="A261" s="248"/>
      <c r="B261" s="248"/>
      <c r="C261" s="248"/>
      <c r="D261" s="248"/>
    </row>
    <row r="262" spans="1:4" x14ac:dyDescent="0.3">
      <c r="A262" s="248"/>
      <c r="B262" s="248"/>
      <c r="C262" s="248"/>
      <c r="D262" s="248"/>
    </row>
    <row r="263" spans="1:4" x14ac:dyDescent="0.3">
      <c r="A263" s="248"/>
      <c r="B263" s="248"/>
      <c r="C263" s="248"/>
      <c r="D263" s="248"/>
    </row>
    <row r="264" spans="1:4" x14ac:dyDescent="0.3">
      <c r="A264" s="248"/>
      <c r="B264" s="248"/>
      <c r="C264" s="248"/>
      <c r="D264" s="248"/>
    </row>
    <row r="265" spans="1:4" x14ac:dyDescent="0.3">
      <c r="A265" s="248"/>
      <c r="B265" s="248"/>
      <c r="C265" s="248"/>
      <c r="D265" s="248"/>
    </row>
    <row r="266" spans="1:4" x14ac:dyDescent="0.3">
      <c r="A266" s="248"/>
      <c r="B266" s="248"/>
      <c r="C266" s="248"/>
      <c r="D266" s="248"/>
    </row>
    <row r="267" spans="1:4" x14ac:dyDescent="0.3">
      <c r="A267" s="248"/>
      <c r="B267" s="248"/>
      <c r="C267" s="248"/>
      <c r="D267" s="248"/>
    </row>
    <row r="268" spans="1:4" x14ac:dyDescent="0.3">
      <c r="A268" s="248"/>
      <c r="B268" s="248"/>
      <c r="C268" s="248"/>
      <c r="D268" s="248"/>
    </row>
    <row r="269" spans="1:4" x14ac:dyDescent="0.3">
      <c r="A269" s="248"/>
      <c r="B269" s="248"/>
      <c r="C269" s="248"/>
      <c r="D269" s="248"/>
    </row>
    <row r="270" spans="1:4" x14ac:dyDescent="0.3">
      <c r="A270" s="248"/>
      <c r="B270" s="248"/>
      <c r="C270" s="248"/>
      <c r="D270" s="248"/>
    </row>
    <row r="271" spans="1:4" x14ac:dyDescent="0.3">
      <c r="A271" s="248"/>
      <c r="B271" s="248"/>
      <c r="C271" s="248"/>
      <c r="D271" s="248"/>
    </row>
    <row r="272" spans="1:4" x14ac:dyDescent="0.3">
      <c r="A272" s="248"/>
      <c r="B272" s="248"/>
      <c r="C272" s="248"/>
      <c r="D272" s="248"/>
    </row>
    <row r="273" spans="1:4" x14ac:dyDescent="0.3">
      <c r="A273" s="248"/>
      <c r="B273" s="248"/>
      <c r="C273" s="248"/>
      <c r="D273" s="248"/>
    </row>
    <row r="274" spans="1:4" x14ac:dyDescent="0.3">
      <c r="A274" s="248"/>
      <c r="B274" s="248"/>
      <c r="C274" s="248"/>
      <c r="D274" s="248"/>
    </row>
    <row r="275" spans="1:4" x14ac:dyDescent="0.3">
      <c r="A275" s="248"/>
      <c r="B275" s="248"/>
      <c r="C275" s="248"/>
      <c r="D275" s="248"/>
    </row>
    <row r="276" spans="1:4" x14ac:dyDescent="0.3">
      <c r="A276" s="248"/>
      <c r="B276" s="248"/>
      <c r="C276" s="248"/>
      <c r="D276" s="248"/>
    </row>
    <row r="277" spans="1:4" x14ac:dyDescent="0.3">
      <c r="A277" s="248"/>
      <c r="B277" s="248"/>
      <c r="C277" s="248"/>
      <c r="D277" s="248"/>
    </row>
  </sheetData>
  <sortState ref="A3:C87">
    <sortCondition ref="B3:B87"/>
  </sortState>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296"/>
  <sheetViews>
    <sheetView topLeftCell="A276" workbookViewId="0">
      <selection activeCell="A291" sqref="A291"/>
    </sheetView>
  </sheetViews>
  <sheetFormatPr defaultRowHeight="14.4" x14ac:dyDescent="0.3"/>
  <cols>
    <col min="1" max="1" width="42.88671875" customWidth="1"/>
    <col min="2" max="2" width="13.44140625" customWidth="1"/>
    <col min="3" max="3" width="13.5546875" customWidth="1"/>
    <col min="7" max="7" width="19.6640625" customWidth="1"/>
    <col min="9" max="9" width="11.88671875" customWidth="1"/>
  </cols>
  <sheetData>
    <row r="3" spans="1:3" x14ac:dyDescent="0.3">
      <c r="A3" t="s">
        <v>1211</v>
      </c>
      <c r="B3" t="s">
        <v>711</v>
      </c>
      <c r="C3">
        <v>13159942</v>
      </c>
    </row>
    <row r="6" spans="1:3" x14ac:dyDescent="0.3">
      <c r="A6" t="s">
        <v>901</v>
      </c>
      <c r="B6" t="s">
        <v>711</v>
      </c>
      <c r="C6">
        <v>43636760.969999999</v>
      </c>
    </row>
    <row r="8" spans="1:3" x14ac:dyDescent="0.3">
      <c r="A8" t="s">
        <v>1144</v>
      </c>
      <c r="B8" t="s">
        <v>711</v>
      </c>
      <c r="C8">
        <v>200642.3</v>
      </c>
    </row>
    <row r="9" spans="1:3" x14ac:dyDescent="0.3">
      <c r="A9" t="s">
        <v>902</v>
      </c>
      <c r="B9" s="265">
        <v>4125</v>
      </c>
      <c r="C9" t="s">
        <v>711</v>
      </c>
    </row>
    <row r="10" spans="1:3" x14ac:dyDescent="0.3">
      <c r="A10" t="s">
        <v>903</v>
      </c>
      <c r="B10" t="s">
        <v>711</v>
      </c>
      <c r="C10" s="265">
        <v>4352</v>
      </c>
    </row>
    <row r="11" spans="1:3" x14ac:dyDescent="0.3">
      <c r="A11" t="s">
        <v>904</v>
      </c>
      <c r="B11" t="s">
        <v>711</v>
      </c>
      <c r="C11">
        <v>186707</v>
      </c>
    </row>
    <row r="12" spans="1:3" x14ac:dyDescent="0.3">
      <c r="A12" t="s">
        <v>905</v>
      </c>
      <c r="B12" t="s">
        <v>711</v>
      </c>
      <c r="C12" s="265">
        <v>2480</v>
      </c>
    </row>
    <row r="13" spans="1:3" x14ac:dyDescent="0.3">
      <c r="A13" t="s">
        <v>1275</v>
      </c>
      <c r="B13" t="s">
        <v>711</v>
      </c>
      <c r="C13" s="265">
        <v>7924.38</v>
      </c>
    </row>
    <row r="14" spans="1:3" x14ac:dyDescent="0.3">
      <c r="A14" t="s">
        <v>906</v>
      </c>
      <c r="B14" t="s">
        <v>711</v>
      </c>
      <c r="C14" s="265">
        <v>4675</v>
      </c>
    </row>
    <row r="15" spans="1:3" x14ac:dyDescent="0.3">
      <c r="A15" t="s">
        <v>907</v>
      </c>
      <c r="B15">
        <v>255</v>
      </c>
      <c r="C15" t="s">
        <v>711</v>
      </c>
    </row>
    <row r="16" spans="1:3" x14ac:dyDescent="0.3">
      <c r="A16" t="s">
        <v>908</v>
      </c>
      <c r="B16">
        <v>176330.58</v>
      </c>
      <c r="C16" t="s">
        <v>711</v>
      </c>
    </row>
    <row r="17" spans="1:3" x14ac:dyDescent="0.3">
      <c r="A17" t="s">
        <v>1276</v>
      </c>
      <c r="B17" s="265">
        <v>1416</v>
      </c>
      <c r="C17" t="s">
        <v>711</v>
      </c>
    </row>
    <row r="18" spans="1:3" x14ac:dyDescent="0.3">
      <c r="A18" t="s">
        <v>909</v>
      </c>
      <c r="B18" t="s">
        <v>711</v>
      </c>
      <c r="C18" s="265">
        <v>2000</v>
      </c>
    </row>
    <row r="19" spans="1:3" x14ac:dyDescent="0.3">
      <c r="A19" t="s">
        <v>910</v>
      </c>
      <c r="B19" t="s">
        <v>711</v>
      </c>
      <c r="C19">
        <v>871523</v>
      </c>
    </row>
    <row r="20" spans="1:3" x14ac:dyDescent="0.3">
      <c r="A20" t="s">
        <v>911</v>
      </c>
      <c r="B20" s="265">
        <v>1296</v>
      </c>
      <c r="C20" t="s">
        <v>711</v>
      </c>
    </row>
    <row r="21" spans="1:3" x14ac:dyDescent="0.3">
      <c r="A21" t="s">
        <v>912</v>
      </c>
      <c r="B21" s="265">
        <v>5900</v>
      </c>
      <c r="C21" t="s">
        <v>711</v>
      </c>
    </row>
    <row r="22" spans="1:3" x14ac:dyDescent="0.3">
      <c r="A22" t="s">
        <v>913</v>
      </c>
      <c r="B22">
        <v>0.04</v>
      </c>
      <c r="C22" t="s">
        <v>711</v>
      </c>
    </row>
    <row r="23" spans="1:3" x14ac:dyDescent="0.3">
      <c r="A23" t="s">
        <v>1212</v>
      </c>
      <c r="B23" t="s">
        <v>711</v>
      </c>
      <c r="C23" s="265">
        <v>14360</v>
      </c>
    </row>
    <row r="24" spans="1:3" x14ac:dyDescent="0.3">
      <c r="A24" t="s">
        <v>914</v>
      </c>
      <c r="B24" t="s">
        <v>711</v>
      </c>
      <c r="C24">
        <v>0.4</v>
      </c>
    </row>
    <row r="25" spans="1:3" x14ac:dyDescent="0.3">
      <c r="A25" t="s">
        <v>1213</v>
      </c>
      <c r="B25" t="s">
        <v>711</v>
      </c>
      <c r="C25" s="265">
        <v>8310</v>
      </c>
    </row>
    <row r="26" spans="1:3" x14ac:dyDescent="0.3">
      <c r="A26" t="s">
        <v>915</v>
      </c>
      <c r="B26" t="s">
        <v>711</v>
      </c>
      <c r="C26" t="s">
        <v>711</v>
      </c>
    </row>
    <row r="27" spans="1:3" x14ac:dyDescent="0.3">
      <c r="A27" t="s">
        <v>916</v>
      </c>
      <c r="B27" t="s">
        <v>711</v>
      </c>
      <c r="C27">
        <v>321</v>
      </c>
    </row>
    <row r="28" spans="1:3" x14ac:dyDescent="0.3">
      <c r="A28" t="s">
        <v>917</v>
      </c>
      <c r="B28" t="s">
        <v>711</v>
      </c>
      <c r="C28">
        <v>485</v>
      </c>
    </row>
    <row r="29" spans="1:3" x14ac:dyDescent="0.3">
      <c r="A29" t="s">
        <v>918</v>
      </c>
      <c r="B29" s="265">
        <v>1390.45</v>
      </c>
      <c r="C29" t="s">
        <v>711</v>
      </c>
    </row>
    <row r="30" spans="1:3" x14ac:dyDescent="0.3">
      <c r="A30" t="s">
        <v>919</v>
      </c>
      <c r="B30" s="265">
        <v>1770</v>
      </c>
      <c r="C30" t="s">
        <v>711</v>
      </c>
    </row>
    <row r="31" spans="1:3" x14ac:dyDescent="0.3">
      <c r="A31" t="s">
        <v>920</v>
      </c>
      <c r="B31" t="s">
        <v>711</v>
      </c>
      <c r="C31">
        <v>150500</v>
      </c>
    </row>
    <row r="32" spans="1:3" x14ac:dyDescent="0.3">
      <c r="A32" t="s">
        <v>921</v>
      </c>
      <c r="B32" t="s">
        <v>711</v>
      </c>
      <c r="C32">
        <v>474791.1</v>
      </c>
    </row>
    <row r="33" spans="1:9" x14ac:dyDescent="0.3">
      <c r="A33" t="s">
        <v>922</v>
      </c>
      <c r="B33" t="s">
        <v>711</v>
      </c>
      <c r="C33">
        <v>395772.04</v>
      </c>
    </row>
    <row r="34" spans="1:9" x14ac:dyDescent="0.3">
      <c r="A34" t="s">
        <v>923</v>
      </c>
      <c r="B34" t="s">
        <v>711</v>
      </c>
      <c r="C34">
        <v>10.25</v>
      </c>
      <c r="G34" t="s">
        <v>1214</v>
      </c>
      <c r="H34" t="s">
        <v>711</v>
      </c>
      <c r="I34" s="88">
        <v>4750927.8</v>
      </c>
    </row>
    <row r="35" spans="1:9" x14ac:dyDescent="0.3">
      <c r="A35" t="s">
        <v>924</v>
      </c>
      <c r="B35">
        <v>9.5</v>
      </c>
      <c r="C35" t="s">
        <v>711</v>
      </c>
      <c r="G35" t="s">
        <v>934</v>
      </c>
      <c r="H35" t="s">
        <v>711</v>
      </c>
      <c r="I35" s="88">
        <v>1883180.78</v>
      </c>
    </row>
    <row r="36" spans="1:9" x14ac:dyDescent="0.3">
      <c r="A36" t="s">
        <v>925</v>
      </c>
      <c r="B36" t="s">
        <v>711</v>
      </c>
      <c r="C36">
        <v>226544.74</v>
      </c>
      <c r="G36" t="s">
        <v>939</v>
      </c>
      <c r="H36" t="s">
        <v>711</v>
      </c>
      <c r="I36" s="88">
        <v>1906115.02</v>
      </c>
    </row>
    <row r="37" spans="1:9" x14ac:dyDescent="0.3">
      <c r="A37" t="s">
        <v>926</v>
      </c>
      <c r="B37" t="s">
        <v>711</v>
      </c>
      <c r="C37">
        <v>343296.51</v>
      </c>
      <c r="G37" t="s">
        <v>941</v>
      </c>
      <c r="H37" t="s">
        <v>711</v>
      </c>
      <c r="I37" s="88">
        <v>1744856.22</v>
      </c>
    </row>
    <row r="38" spans="1:9" x14ac:dyDescent="0.3">
      <c r="A38" t="s">
        <v>927</v>
      </c>
      <c r="B38" t="s">
        <v>711</v>
      </c>
      <c r="C38">
        <v>427750</v>
      </c>
      <c r="G38" t="s">
        <v>1216</v>
      </c>
      <c r="H38" t="s">
        <v>711</v>
      </c>
      <c r="I38" s="88">
        <v>2941508</v>
      </c>
    </row>
    <row r="39" spans="1:9" x14ac:dyDescent="0.3">
      <c r="A39" t="s">
        <v>928</v>
      </c>
      <c r="B39" t="s">
        <v>711</v>
      </c>
      <c r="C39" t="s">
        <v>711</v>
      </c>
      <c r="G39" t="s">
        <v>957</v>
      </c>
      <c r="H39" t="s">
        <v>711</v>
      </c>
      <c r="I39" s="88">
        <v>3240619.63</v>
      </c>
    </row>
    <row r="40" spans="1:9" x14ac:dyDescent="0.3">
      <c r="A40" t="s">
        <v>929</v>
      </c>
      <c r="B40" t="s">
        <v>711</v>
      </c>
      <c r="C40">
        <v>542999</v>
      </c>
      <c r="G40" t="s">
        <v>962</v>
      </c>
      <c r="H40" t="s">
        <v>711</v>
      </c>
      <c r="I40" s="88">
        <v>3374019</v>
      </c>
    </row>
    <row r="41" spans="1:9" x14ac:dyDescent="0.3">
      <c r="A41" t="s">
        <v>930</v>
      </c>
      <c r="B41" t="s">
        <v>711</v>
      </c>
      <c r="C41">
        <v>509.76</v>
      </c>
      <c r="G41" t="s">
        <v>978</v>
      </c>
      <c r="H41" t="s">
        <v>711</v>
      </c>
      <c r="I41" s="88">
        <v>1576480</v>
      </c>
    </row>
    <row r="42" spans="1:9" x14ac:dyDescent="0.3">
      <c r="A42" t="s">
        <v>931</v>
      </c>
      <c r="B42" s="274">
        <v>3105000</v>
      </c>
      <c r="C42" t="s">
        <v>711</v>
      </c>
      <c r="G42" t="s">
        <v>986</v>
      </c>
      <c r="H42" t="s">
        <v>711</v>
      </c>
      <c r="I42" s="88">
        <v>872085.26</v>
      </c>
    </row>
    <row r="43" spans="1:9" x14ac:dyDescent="0.3">
      <c r="A43" t="s">
        <v>932</v>
      </c>
      <c r="B43" t="s">
        <v>711</v>
      </c>
      <c r="C43" s="265">
        <v>26975</v>
      </c>
      <c r="G43" t="s">
        <v>1219</v>
      </c>
      <c r="H43" t="s">
        <v>711</v>
      </c>
      <c r="I43" s="88">
        <v>904520.7</v>
      </c>
    </row>
    <row r="44" spans="1:9" x14ac:dyDescent="0.3">
      <c r="A44" t="s">
        <v>1214</v>
      </c>
      <c r="B44" t="s">
        <v>711</v>
      </c>
      <c r="C44" s="88">
        <v>4750927.8</v>
      </c>
      <c r="G44" t="s">
        <v>1011</v>
      </c>
      <c r="H44" t="s">
        <v>711</v>
      </c>
      <c r="I44" s="88">
        <v>2949818.51</v>
      </c>
    </row>
    <row r="45" spans="1:9" x14ac:dyDescent="0.3">
      <c r="A45" t="s">
        <v>933</v>
      </c>
      <c r="B45" t="s">
        <v>711</v>
      </c>
      <c r="C45" s="265">
        <v>12740.44</v>
      </c>
      <c r="G45" t="s">
        <v>1222</v>
      </c>
      <c r="H45" t="s">
        <v>711</v>
      </c>
      <c r="I45" s="88">
        <v>687720</v>
      </c>
    </row>
    <row r="46" spans="1:9" x14ac:dyDescent="0.3">
      <c r="A46" t="s">
        <v>1277</v>
      </c>
      <c r="B46" s="265">
        <v>60000</v>
      </c>
      <c r="C46" t="s">
        <v>711</v>
      </c>
      <c r="G46" t="s">
        <v>1080</v>
      </c>
      <c r="H46" t="s">
        <v>711</v>
      </c>
      <c r="I46" s="88">
        <v>1348501</v>
      </c>
    </row>
    <row r="47" spans="1:9" x14ac:dyDescent="0.3">
      <c r="A47" t="s">
        <v>934</v>
      </c>
      <c r="B47" t="s">
        <v>711</v>
      </c>
      <c r="C47" s="88">
        <v>1883180.78</v>
      </c>
    </row>
    <row r="48" spans="1:9" x14ac:dyDescent="0.3">
      <c r="A48" t="s">
        <v>935</v>
      </c>
      <c r="B48" t="s">
        <v>711</v>
      </c>
      <c r="C48">
        <v>231280</v>
      </c>
    </row>
    <row r="49" spans="1:9" x14ac:dyDescent="0.3">
      <c r="A49" t="s">
        <v>936</v>
      </c>
      <c r="B49" t="s">
        <v>711</v>
      </c>
      <c r="C49">
        <v>146202</v>
      </c>
    </row>
    <row r="50" spans="1:9" x14ac:dyDescent="0.3">
      <c r="A50" t="s">
        <v>937</v>
      </c>
      <c r="B50" t="s">
        <v>711</v>
      </c>
      <c r="C50" t="s">
        <v>711</v>
      </c>
      <c r="I50">
        <f>SUM(I34:I49)</f>
        <v>28180351.920000002</v>
      </c>
    </row>
    <row r="51" spans="1:9" x14ac:dyDescent="0.3">
      <c r="A51" t="s">
        <v>938</v>
      </c>
      <c r="B51" t="s">
        <v>711</v>
      </c>
      <c r="C51">
        <v>0.4</v>
      </c>
    </row>
    <row r="52" spans="1:9" x14ac:dyDescent="0.3">
      <c r="A52" t="s">
        <v>1278</v>
      </c>
      <c r="B52" s="265">
        <v>5900</v>
      </c>
      <c r="C52" t="s">
        <v>711</v>
      </c>
      <c r="G52" t="s">
        <v>1097</v>
      </c>
      <c r="H52" t="s">
        <v>711</v>
      </c>
      <c r="I52" s="88">
        <v>3734770.09</v>
      </c>
    </row>
    <row r="53" spans="1:9" x14ac:dyDescent="0.3">
      <c r="A53" t="s">
        <v>939</v>
      </c>
      <c r="B53" t="s">
        <v>711</v>
      </c>
      <c r="C53" s="88">
        <v>1906115.02</v>
      </c>
      <c r="G53" t="s">
        <v>1107</v>
      </c>
      <c r="H53" t="s">
        <v>711</v>
      </c>
      <c r="I53" s="88">
        <v>864000.48</v>
      </c>
    </row>
    <row r="54" spans="1:9" x14ac:dyDescent="0.3">
      <c r="A54" t="s">
        <v>940</v>
      </c>
      <c r="B54" t="s">
        <v>711</v>
      </c>
      <c r="C54">
        <v>267</v>
      </c>
      <c r="G54" t="s">
        <v>1108</v>
      </c>
      <c r="H54" t="s">
        <v>711</v>
      </c>
      <c r="I54" s="88">
        <v>432000.48</v>
      </c>
    </row>
    <row r="55" spans="1:9" x14ac:dyDescent="0.3">
      <c r="A55" t="s">
        <v>941</v>
      </c>
      <c r="B55" t="s">
        <v>711</v>
      </c>
      <c r="C55" s="88">
        <v>1744856.22</v>
      </c>
      <c r="G55" t="s">
        <v>1128</v>
      </c>
      <c r="H55" t="s">
        <v>711</v>
      </c>
      <c r="I55" s="88">
        <v>1269864.74</v>
      </c>
    </row>
    <row r="56" spans="1:9" x14ac:dyDescent="0.3">
      <c r="A56" t="s">
        <v>942</v>
      </c>
      <c r="B56">
        <v>1</v>
      </c>
      <c r="C56" t="s">
        <v>711</v>
      </c>
      <c r="G56" t="s">
        <v>1139</v>
      </c>
      <c r="H56" t="s">
        <v>711</v>
      </c>
      <c r="I56" s="88">
        <v>9869542</v>
      </c>
    </row>
    <row r="57" spans="1:9" x14ac:dyDescent="0.3">
      <c r="A57" t="s">
        <v>943</v>
      </c>
      <c r="B57">
        <v>0.26</v>
      </c>
      <c r="C57" t="s">
        <v>711</v>
      </c>
    </row>
    <row r="58" spans="1:9" x14ac:dyDescent="0.3">
      <c r="A58" t="s">
        <v>944</v>
      </c>
      <c r="B58" t="s">
        <v>711</v>
      </c>
      <c r="C58">
        <v>298020</v>
      </c>
    </row>
    <row r="59" spans="1:9" x14ac:dyDescent="0.3">
      <c r="A59" t="s">
        <v>945</v>
      </c>
      <c r="B59" s="265">
        <v>1013.27</v>
      </c>
      <c r="C59" t="s">
        <v>711</v>
      </c>
      <c r="I59">
        <f>SUM(I52:I58)</f>
        <v>16170177.790000001</v>
      </c>
    </row>
    <row r="60" spans="1:9" x14ac:dyDescent="0.3">
      <c r="A60" t="s">
        <v>946</v>
      </c>
      <c r="B60" s="265">
        <v>87248</v>
      </c>
      <c r="C60" t="s">
        <v>711</v>
      </c>
    </row>
    <row r="61" spans="1:9" x14ac:dyDescent="0.3">
      <c r="A61" t="s">
        <v>947</v>
      </c>
      <c r="B61">
        <v>2</v>
      </c>
      <c r="C61" t="s">
        <v>711</v>
      </c>
    </row>
    <row r="62" spans="1:9" x14ac:dyDescent="0.3">
      <c r="A62" t="s">
        <v>1215</v>
      </c>
      <c r="B62">
        <v>0.22</v>
      </c>
      <c r="C62" t="s">
        <v>711</v>
      </c>
    </row>
    <row r="63" spans="1:9" x14ac:dyDescent="0.3">
      <c r="A63" t="s">
        <v>948</v>
      </c>
      <c r="B63" t="s">
        <v>711</v>
      </c>
      <c r="C63" s="265">
        <v>56495</v>
      </c>
    </row>
    <row r="64" spans="1:9" x14ac:dyDescent="0.3">
      <c r="A64" t="s">
        <v>949</v>
      </c>
      <c r="B64">
        <v>2.4700000000000002</v>
      </c>
      <c r="C64" t="s">
        <v>711</v>
      </c>
    </row>
    <row r="65" spans="1:3" x14ac:dyDescent="0.3">
      <c r="A65" t="s">
        <v>1216</v>
      </c>
      <c r="B65" t="s">
        <v>711</v>
      </c>
      <c r="C65" s="88">
        <v>2941508</v>
      </c>
    </row>
    <row r="66" spans="1:3" x14ac:dyDescent="0.3">
      <c r="A66" t="s">
        <v>950</v>
      </c>
      <c r="B66" s="265">
        <v>50000</v>
      </c>
      <c r="C66" t="s">
        <v>711</v>
      </c>
    </row>
    <row r="67" spans="1:3" x14ac:dyDescent="0.3">
      <c r="A67" t="s">
        <v>951</v>
      </c>
      <c r="B67" t="s">
        <v>711</v>
      </c>
      <c r="C67">
        <v>246940</v>
      </c>
    </row>
    <row r="68" spans="1:3" x14ac:dyDescent="0.3">
      <c r="A68" t="s">
        <v>952</v>
      </c>
      <c r="B68" t="s">
        <v>711</v>
      </c>
      <c r="C68" s="265">
        <v>38194.32</v>
      </c>
    </row>
    <row r="69" spans="1:3" x14ac:dyDescent="0.3">
      <c r="A69" t="s">
        <v>953</v>
      </c>
      <c r="B69" s="265">
        <v>7087.5</v>
      </c>
      <c r="C69" t="s">
        <v>711</v>
      </c>
    </row>
    <row r="70" spans="1:3" x14ac:dyDescent="0.3">
      <c r="A70" t="s">
        <v>954</v>
      </c>
      <c r="B70" t="s">
        <v>711</v>
      </c>
      <c r="C70">
        <v>1</v>
      </c>
    </row>
    <row r="71" spans="1:3" x14ac:dyDescent="0.3">
      <c r="A71" t="s">
        <v>955</v>
      </c>
      <c r="B71" t="s">
        <v>711</v>
      </c>
      <c r="C71">
        <v>161.4</v>
      </c>
    </row>
    <row r="72" spans="1:3" x14ac:dyDescent="0.3">
      <c r="A72" t="s">
        <v>956</v>
      </c>
      <c r="B72" t="s">
        <v>711</v>
      </c>
      <c r="C72" s="265">
        <v>1133</v>
      </c>
    </row>
    <row r="73" spans="1:3" x14ac:dyDescent="0.3">
      <c r="A73" t="s">
        <v>957</v>
      </c>
      <c r="B73" t="s">
        <v>711</v>
      </c>
      <c r="C73" s="88">
        <v>3240619.63</v>
      </c>
    </row>
    <row r="74" spans="1:3" x14ac:dyDescent="0.3">
      <c r="A74" t="s">
        <v>958</v>
      </c>
      <c r="B74" t="s">
        <v>711</v>
      </c>
      <c r="C74" s="265">
        <v>2678</v>
      </c>
    </row>
    <row r="75" spans="1:3" x14ac:dyDescent="0.3">
      <c r="A75" t="s">
        <v>959</v>
      </c>
      <c r="B75" s="265">
        <v>9799.75</v>
      </c>
      <c r="C75" t="s">
        <v>711</v>
      </c>
    </row>
    <row r="76" spans="1:3" x14ac:dyDescent="0.3">
      <c r="A76" t="s">
        <v>1217</v>
      </c>
      <c r="B76" t="s">
        <v>711</v>
      </c>
      <c r="C76" s="265">
        <v>14611.5</v>
      </c>
    </row>
    <row r="77" spans="1:3" x14ac:dyDescent="0.3">
      <c r="A77" t="s">
        <v>960</v>
      </c>
      <c r="B77" t="s">
        <v>711</v>
      </c>
      <c r="C77">
        <v>1</v>
      </c>
    </row>
    <row r="78" spans="1:3" x14ac:dyDescent="0.3">
      <c r="A78" t="s">
        <v>961</v>
      </c>
      <c r="B78">
        <v>177</v>
      </c>
      <c r="C78" t="s">
        <v>711</v>
      </c>
    </row>
    <row r="79" spans="1:3" x14ac:dyDescent="0.3">
      <c r="A79" t="s">
        <v>962</v>
      </c>
      <c r="B79" t="s">
        <v>711</v>
      </c>
      <c r="C79" s="88">
        <v>3374019</v>
      </c>
    </row>
    <row r="80" spans="1:3" x14ac:dyDescent="0.3">
      <c r="A80" t="s">
        <v>963</v>
      </c>
      <c r="B80" t="s">
        <v>711</v>
      </c>
      <c r="C80" s="265">
        <v>23458</v>
      </c>
    </row>
    <row r="81" spans="1:3" x14ac:dyDescent="0.3">
      <c r="A81" t="s">
        <v>964</v>
      </c>
      <c r="B81" t="s">
        <v>711</v>
      </c>
      <c r="C81" s="265">
        <v>4293</v>
      </c>
    </row>
    <row r="82" spans="1:3" x14ac:dyDescent="0.3">
      <c r="A82" t="s">
        <v>965</v>
      </c>
      <c r="B82" t="s">
        <v>711</v>
      </c>
      <c r="C82" s="265">
        <v>76984.27</v>
      </c>
    </row>
    <row r="83" spans="1:3" x14ac:dyDescent="0.3">
      <c r="A83" t="s">
        <v>966</v>
      </c>
      <c r="B83" t="s">
        <v>711</v>
      </c>
      <c r="C83" s="265">
        <v>9187</v>
      </c>
    </row>
    <row r="84" spans="1:3" x14ac:dyDescent="0.3">
      <c r="A84" t="s">
        <v>967</v>
      </c>
      <c r="B84" t="s">
        <v>711</v>
      </c>
      <c r="C84">
        <v>203905</v>
      </c>
    </row>
    <row r="85" spans="1:3" x14ac:dyDescent="0.3">
      <c r="A85" t="s">
        <v>968</v>
      </c>
      <c r="B85" t="s">
        <v>711</v>
      </c>
      <c r="C85" s="265">
        <v>35170</v>
      </c>
    </row>
    <row r="86" spans="1:3" x14ac:dyDescent="0.3">
      <c r="A86" t="s">
        <v>969</v>
      </c>
      <c r="B86" t="s">
        <v>711</v>
      </c>
      <c r="C86" s="265">
        <v>53822</v>
      </c>
    </row>
    <row r="87" spans="1:3" x14ac:dyDescent="0.3">
      <c r="A87" t="s">
        <v>970</v>
      </c>
      <c r="B87" t="s">
        <v>711</v>
      </c>
      <c r="C87" s="265">
        <v>6332</v>
      </c>
    </row>
    <row r="88" spans="1:3" x14ac:dyDescent="0.3">
      <c r="A88" t="s">
        <v>971</v>
      </c>
      <c r="B88" t="s">
        <v>711</v>
      </c>
      <c r="C88" t="s">
        <v>711</v>
      </c>
    </row>
    <row r="89" spans="1:3" x14ac:dyDescent="0.3">
      <c r="A89" t="s">
        <v>972</v>
      </c>
      <c r="B89" t="s">
        <v>711</v>
      </c>
      <c r="C89">
        <v>453096</v>
      </c>
    </row>
    <row r="90" spans="1:3" x14ac:dyDescent="0.3">
      <c r="A90" t="s">
        <v>973</v>
      </c>
      <c r="B90">
        <v>681</v>
      </c>
      <c r="C90" t="s">
        <v>711</v>
      </c>
    </row>
    <row r="91" spans="1:3" x14ac:dyDescent="0.3">
      <c r="A91" t="s">
        <v>974</v>
      </c>
      <c r="B91">
        <v>0.2</v>
      </c>
      <c r="C91" t="s">
        <v>711</v>
      </c>
    </row>
    <row r="92" spans="1:3" x14ac:dyDescent="0.3">
      <c r="A92" t="s">
        <v>975</v>
      </c>
      <c r="B92" s="265">
        <v>1872.27</v>
      </c>
      <c r="C92" t="s">
        <v>711</v>
      </c>
    </row>
    <row r="93" spans="1:3" x14ac:dyDescent="0.3">
      <c r="A93" t="s">
        <v>976</v>
      </c>
      <c r="B93">
        <v>0.2</v>
      </c>
      <c r="C93" t="s">
        <v>711</v>
      </c>
    </row>
    <row r="94" spans="1:3" x14ac:dyDescent="0.3">
      <c r="A94" t="s">
        <v>977</v>
      </c>
      <c r="B94" t="s">
        <v>711</v>
      </c>
      <c r="C94">
        <v>402268.5</v>
      </c>
    </row>
    <row r="95" spans="1:3" x14ac:dyDescent="0.3">
      <c r="A95" t="s">
        <v>978</v>
      </c>
      <c r="B95" t="s">
        <v>711</v>
      </c>
      <c r="C95" s="88">
        <v>1576480</v>
      </c>
    </row>
    <row r="96" spans="1:3" x14ac:dyDescent="0.3">
      <c r="A96" t="s">
        <v>979</v>
      </c>
      <c r="B96" s="265">
        <v>5743.48</v>
      </c>
      <c r="C96" t="s">
        <v>711</v>
      </c>
    </row>
    <row r="97" spans="1:3" x14ac:dyDescent="0.3">
      <c r="A97" t="s">
        <v>980</v>
      </c>
      <c r="B97" t="s">
        <v>711</v>
      </c>
      <c r="C97" s="265">
        <v>12281.8</v>
      </c>
    </row>
    <row r="98" spans="1:3" x14ac:dyDescent="0.3">
      <c r="A98" t="s">
        <v>981</v>
      </c>
      <c r="B98">
        <v>108245</v>
      </c>
      <c r="C98" t="s">
        <v>711</v>
      </c>
    </row>
    <row r="99" spans="1:3" x14ac:dyDescent="0.3">
      <c r="A99" t="s">
        <v>982</v>
      </c>
      <c r="B99" t="s">
        <v>711</v>
      </c>
      <c r="C99" s="265">
        <v>40000</v>
      </c>
    </row>
    <row r="100" spans="1:3" x14ac:dyDescent="0.3">
      <c r="A100" t="s">
        <v>983</v>
      </c>
      <c r="B100" t="s">
        <v>711</v>
      </c>
      <c r="C100">
        <v>1118628</v>
      </c>
    </row>
    <row r="101" spans="1:3" x14ac:dyDescent="0.3">
      <c r="A101" t="s">
        <v>984</v>
      </c>
      <c r="B101" s="265">
        <v>90604</v>
      </c>
      <c r="C101" t="s">
        <v>711</v>
      </c>
    </row>
    <row r="102" spans="1:3" x14ac:dyDescent="0.3">
      <c r="A102" t="s">
        <v>985</v>
      </c>
      <c r="B102" s="265">
        <v>43515</v>
      </c>
      <c r="C102" t="s">
        <v>711</v>
      </c>
    </row>
    <row r="103" spans="1:3" x14ac:dyDescent="0.3">
      <c r="A103" t="s">
        <v>986</v>
      </c>
      <c r="B103" t="s">
        <v>711</v>
      </c>
      <c r="C103" s="88">
        <v>872085.26</v>
      </c>
    </row>
    <row r="104" spans="1:3" x14ac:dyDescent="0.3">
      <c r="A104" t="s">
        <v>987</v>
      </c>
      <c r="B104">
        <v>26</v>
      </c>
      <c r="C104" t="s">
        <v>711</v>
      </c>
    </row>
    <row r="105" spans="1:3" x14ac:dyDescent="0.3">
      <c r="A105" t="s">
        <v>988</v>
      </c>
      <c r="B105" s="265">
        <v>9936</v>
      </c>
      <c r="C105" t="s">
        <v>711</v>
      </c>
    </row>
    <row r="106" spans="1:3" x14ac:dyDescent="0.3">
      <c r="A106" t="s">
        <v>989</v>
      </c>
      <c r="B106" t="s">
        <v>711</v>
      </c>
      <c r="C106">
        <v>100000</v>
      </c>
    </row>
    <row r="107" spans="1:3" x14ac:dyDescent="0.3">
      <c r="A107" t="s">
        <v>1218</v>
      </c>
      <c r="B107" t="s">
        <v>711</v>
      </c>
      <c r="C107" s="265">
        <v>1416</v>
      </c>
    </row>
    <row r="108" spans="1:3" x14ac:dyDescent="0.3">
      <c r="A108" t="s">
        <v>990</v>
      </c>
      <c r="B108" t="s">
        <v>711</v>
      </c>
      <c r="C108">
        <v>206883</v>
      </c>
    </row>
    <row r="109" spans="1:3" x14ac:dyDescent="0.3">
      <c r="A109" t="s">
        <v>1219</v>
      </c>
      <c r="B109" t="s">
        <v>711</v>
      </c>
      <c r="C109" s="88">
        <v>904520.7</v>
      </c>
    </row>
    <row r="110" spans="1:3" x14ac:dyDescent="0.3">
      <c r="A110" t="s">
        <v>991</v>
      </c>
      <c r="B110" t="s">
        <v>711</v>
      </c>
      <c r="C110">
        <v>47.7</v>
      </c>
    </row>
    <row r="111" spans="1:3" x14ac:dyDescent="0.3">
      <c r="A111" t="s">
        <v>992</v>
      </c>
      <c r="B111" t="s">
        <v>711</v>
      </c>
      <c r="C111">
        <v>200001.8</v>
      </c>
    </row>
    <row r="112" spans="1:3" x14ac:dyDescent="0.3">
      <c r="A112" t="s">
        <v>993</v>
      </c>
      <c r="B112" t="s">
        <v>711</v>
      </c>
      <c r="C112" s="265">
        <v>20043</v>
      </c>
    </row>
    <row r="113" spans="1:3" x14ac:dyDescent="0.3">
      <c r="A113" t="s">
        <v>1220</v>
      </c>
      <c r="B113" t="s">
        <v>711</v>
      </c>
      <c r="C113">
        <v>0.52</v>
      </c>
    </row>
    <row r="114" spans="1:3" x14ac:dyDescent="0.3">
      <c r="A114" t="s">
        <v>994</v>
      </c>
      <c r="B114" s="265">
        <v>4746.3599999999997</v>
      </c>
      <c r="C114" t="s">
        <v>711</v>
      </c>
    </row>
    <row r="115" spans="1:3" x14ac:dyDescent="0.3">
      <c r="A115" t="s">
        <v>995</v>
      </c>
      <c r="B115">
        <v>1.4</v>
      </c>
      <c r="C115" t="s">
        <v>711</v>
      </c>
    </row>
    <row r="116" spans="1:3" x14ac:dyDescent="0.3">
      <c r="A116" t="s">
        <v>996</v>
      </c>
      <c r="B116" t="s">
        <v>711</v>
      </c>
      <c r="C116">
        <v>105669</v>
      </c>
    </row>
    <row r="117" spans="1:3" x14ac:dyDescent="0.3">
      <c r="A117" t="s">
        <v>997</v>
      </c>
      <c r="B117" s="265">
        <v>26725.5</v>
      </c>
      <c r="C117" t="s">
        <v>711</v>
      </c>
    </row>
    <row r="118" spans="1:3" x14ac:dyDescent="0.3">
      <c r="A118" t="s">
        <v>998</v>
      </c>
      <c r="B118" t="s">
        <v>711</v>
      </c>
      <c r="C118" s="265">
        <v>3348.04</v>
      </c>
    </row>
    <row r="119" spans="1:3" x14ac:dyDescent="0.3">
      <c r="A119" t="s">
        <v>999</v>
      </c>
      <c r="B119" t="s">
        <v>711</v>
      </c>
      <c r="C119">
        <v>0.7</v>
      </c>
    </row>
    <row r="120" spans="1:3" x14ac:dyDescent="0.3">
      <c r="A120" t="s">
        <v>1221</v>
      </c>
      <c r="B120">
        <v>0.16</v>
      </c>
      <c r="C120" t="s">
        <v>711</v>
      </c>
    </row>
    <row r="121" spans="1:3" x14ac:dyDescent="0.3">
      <c r="A121" t="s">
        <v>1000</v>
      </c>
      <c r="B121" t="s">
        <v>711</v>
      </c>
      <c r="C121" s="265">
        <v>1231</v>
      </c>
    </row>
    <row r="122" spans="1:3" x14ac:dyDescent="0.3">
      <c r="A122" t="s">
        <v>1001</v>
      </c>
      <c r="B122" t="s">
        <v>711</v>
      </c>
      <c r="C122">
        <v>345811</v>
      </c>
    </row>
    <row r="123" spans="1:3" x14ac:dyDescent="0.3">
      <c r="A123" t="s">
        <v>1002</v>
      </c>
      <c r="B123" s="265">
        <v>58366</v>
      </c>
      <c r="C123" t="s">
        <v>711</v>
      </c>
    </row>
    <row r="124" spans="1:3" x14ac:dyDescent="0.3">
      <c r="A124" t="s">
        <v>1003</v>
      </c>
      <c r="B124" t="s">
        <v>711</v>
      </c>
      <c r="C124" s="265">
        <v>38529.199999999997</v>
      </c>
    </row>
    <row r="125" spans="1:3" x14ac:dyDescent="0.3">
      <c r="A125" t="s">
        <v>1004</v>
      </c>
      <c r="B125" t="s">
        <v>711</v>
      </c>
      <c r="C125" s="265">
        <v>13859</v>
      </c>
    </row>
    <row r="126" spans="1:3" x14ac:dyDescent="0.3">
      <c r="A126" t="s">
        <v>1005</v>
      </c>
      <c r="B126" t="s">
        <v>711</v>
      </c>
      <c r="C126" s="265">
        <v>85255</v>
      </c>
    </row>
    <row r="127" spans="1:3" x14ac:dyDescent="0.3">
      <c r="A127" t="s">
        <v>1006</v>
      </c>
      <c r="B127" t="s">
        <v>711</v>
      </c>
      <c r="C127" t="s">
        <v>711</v>
      </c>
    </row>
    <row r="128" spans="1:3" x14ac:dyDescent="0.3">
      <c r="A128" t="s">
        <v>1007</v>
      </c>
      <c r="B128" t="s">
        <v>711</v>
      </c>
      <c r="C128">
        <v>135358</v>
      </c>
    </row>
    <row r="129" spans="1:3" x14ac:dyDescent="0.3">
      <c r="A129" t="s">
        <v>1008</v>
      </c>
      <c r="B129" t="s">
        <v>711</v>
      </c>
      <c r="C129" s="265">
        <v>7080</v>
      </c>
    </row>
    <row r="130" spans="1:3" x14ac:dyDescent="0.3">
      <c r="A130" t="s">
        <v>1009</v>
      </c>
      <c r="B130" t="s">
        <v>711</v>
      </c>
      <c r="C130">
        <v>126976</v>
      </c>
    </row>
    <row r="131" spans="1:3" x14ac:dyDescent="0.3">
      <c r="A131" t="s">
        <v>1010</v>
      </c>
      <c r="B131" t="s">
        <v>711</v>
      </c>
      <c r="C131" s="265">
        <v>19433</v>
      </c>
    </row>
    <row r="132" spans="1:3" x14ac:dyDescent="0.3">
      <c r="A132" t="s">
        <v>1011</v>
      </c>
      <c r="B132" t="s">
        <v>711</v>
      </c>
      <c r="C132" s="88">
        <v>2949818.51</v>
      </c>
    </row>
    <row r="133" spans="1:3" x14ac:dyDescent="0.3">
      <c r="A133" t="s">
        <v>1012</v>
      </c>
      <c r="B133" t="s">
        <v>711</v>
      </c>
      <c r="C133" s="265">
        <v>18999</v>
      </c>
    </row>
    <row r="134" spans="1:3" x14ac:dyDescent="0.3">
      <c r="A134" t="s">
        <v>1013</v>
      </c>
      <c r="B134" t="s">
        <v>711</v>
      </c>
      <c r="C134" s="265">
        <v>58037</v>
      </c>
    </row>
    <row r="135" spans="1:3" x14ac:dyDescent="0.3">
      <c r="A135" t="s">
        <v>1014</v>
      </c>
      <c r="B135" t="s">
        <v>711</v>
      </c>
      <c r="C135" s="265">
        <v>1241</v>
      </c>
    </row>
    <row r="136" spans="1:3" x14ac:dyDescent="0.3">
      <c r="A136" t="s">
        <v>1016</v>
      </c>
      <c r="B136" t="s">
        <v>711</v>
      </c>
      <c r="C136" s="265">
        <v>17759.490000000002</v>
      </c>
    </row>
    <row r="137" spans="1:3" x14ac:dyDescent="0.3">
      <c r="A137" t="s">
        <v>1017</v>
      </c>
      <c r="B137" s="265">
        <v>5211</v>
      </c>
      <c r="C137" t="s">
        <v>711</v>
      </c>
    </row>
    <row r="138" spans="1:3" x14ac:dyDescent="0.3">
      <c r="A138" t="s">
        <v>1018</v>
      </c>
      <c r="B138" t="s">
        <v>711</v>
      </c>
      <c r="C138">
        <v>330097.44</v>
      </c>
    </row>
    <row r="139" spans="1:3" x14ac:dyDescent="0.3">
      <c r="A139" t="s">
        <v>1019</v>
      </c>
      <c r="B139" t="s">
        <v>711</v>
      </c>
      <c r="C139" s="265">
        <v>54809</v>
      </c>
    </row>
    <row r="140" spans="1:3" x14ac:dyDescent="0.3">
      <c r="A140" t="s">
        <v>1222</v>
      </c>
      <c r="B140" t="s">
        <v>711</v>
      </c>
      <c r="C140" s="88">
        <v>687720</v>
      </c>
    </row>
    <row r="141" spans="1:3" x14ac:dyDescent="0.3">
      <c r="A141" t="s">
        <v>1223</v>
      </c>
      <c r="B141" t="s">
        <v>711</v>
      </c>
      <c r="C141">
        <v>174235.78</v>
      </c>
    </row>
    <row r="142" spans="1:3" x14ac:dyDescent="0.3">
      <c r="A142" t="s">
        <v>1224</v>
      </c>
      <c r="B142" t="s">
        <v>711</v>
      </c>
      <c r="C142" s="265">
        <v>29111</v>
      </c>
    </row>
    <row r="143" spans="1:3" x14ac:dyDescent="0.3">
      <c r="A143" t="s">
        <v>1020</v>
      </c>
      <c r="B143" t="s">
        <v>711</v>
      </c>
      <c r="C143" s="265">
        <v>8850</v>
      </c>
    </row>
    <row r="144" spans="1:3" x14ac:dyDescent="0.3">
      <c r="A144" t="s">
        <v>1021</v>
      </c>
      <c r="B144">
        <v>1</v>
      </c>
      <c r="C144" t="s">
        <v>711</v>
      </c>
    </row>
    <row r="145" spans="1:3" x14ac:dyDescent="0.3">
      <c r="A145" t="s">
        <v>1279</v>
      </c>
      <c r="B145" t="s">
        <v>711</v>
      </c>
      <c r="C145" s="265">
        <v>2950</v>
      </c>
    </row>
    <row r="146" spans="1:3" x14ac:dyDescent="0.3">
      <c r="A146" t="s">
        <v>1022</v>
      </c>
      <c r="B146" t="s">
        <v>711</v>
      </c>
      <c r="C146" s="265">
        <v>36400</v>
      </c>
    </row>
    <row r="147" spans="1:3" x14ac:dyDescent="0.3">
      <c r="A147" t="s">
        <v>1023</v>
      </c>
      <c r="B147" s="265">
        <v>28025</v>
      </c>
      <c r="C147" t="s">
        <v>711</v>
      </c>
    </row>
    <row r="148" spans="1:3" x14ac:dyDescent="0.3">
      <c r="A148" t="s">
        <v>1024</v>
      </c>
      <c r="B148" t="s">
        <v>711</v>
      </c>
      <c r="C148" s="265">
        <v>1260</v>
      </c>
    </row>
    <row r="149" spans="1:3" x14ac:dyDescent="0.3">
      <c r="A149" t="s">
        <v>1025</v>
      </c>
      <c r="B149" t="s">
        <v>711</v>
      </c>
      <c r="C149" s="265">
        <v>7500</v>
      </c>
    </row>
    <row r="150" spans="1:3" x14ac:dyDescent="0.3">
      <c r="A150" t="s">
        <v>1026</v>
      </c>
      <c r="B150" t="s">
        <v>711</v>
      </c>
      <c r="C150" s="265">
        <v>11544</v>
      </c>
    </row>
    <row r="151" spans="1:3" x14ac:dyDescent="0.3">
      <c r="A151" t="s">
        <v>1027</v>
      </c>
      <c r="B151" t="s">
        <v>711</v>
      </c>
      <c r="C151">
        <v>30</v>
      </c>
    </row>
    <row r="152" spans="1:3" x14ac:dyDescent="0.3">
      <c r="A152" t="s">
        <v>1225</v>
      </c>
      <c r="B152" s="265">
        <v>3705</v>
      </c>
      <c r="C152" t="s">
        <v>711</v>
      </c>
    </row>
    <row r="153" spans="1:3" x14ac:dyDescent="0.3">
      <c r="A153" t="s">
        <v>1226</v>
      </c>
      <c r="B153">
        <v>9</v>
      </c>
      <c r="C153" t="s">
        <v>711</v>
      </c>
    </row>
    <row r="154" spans="1:3" x14ac:dyDescent="0.3">
      <c r="A154" t="s">
        <v>1028</v>
      </c>
      <c r="B154" t="s">
        <v>711</v>
      </c>
      <c r="C154" s="265">
        <v>62730</v>
      </c>
    </row>
    <row r="155" spans="1:3" x14ac:dyDescent="0.3">
      <c r="A155" t="s">
        <v>1029</v>
      </c>
      <c r="B155" t="s">
        <v>711</v>
      </c>
      <c r="C155" s="265">
        <v>6850</v>
      </c>
    </row>
    <row r="156" spans="1:3" x14ac:dyDescent="0.3">
      <c r="A156" t="s">
        <v>1030</v>
      </c>
      <c r="B156" t="s">
        <v>711</v>
      </c>
      <c r="C156" s="265">
        <v>5475</v>
      </c>
    </row>
    <row r="157" spans="1:3" x14ac:dyDescent="0.3">
      <c r="A157" t="s">
        <v>1015</v>
      </c>
      <c r="B157" t="s">
        <v>711</v>
      </c>
      <c r="C157" s="265">
        <v>24346.37</v>
      </c>
    </row>
    <row r="158" spans="1:3" x14ac:dyDescent="0.3">
      <c r="A158" t="s">
        <v>1031</v>
      </c>
      <c r="B158" t="s">
        <v>711</v>
      </c>
      <c r="C158" s="265">
        <v>9999</v>
      </c>
    </row>
    <row r="159" spans="1:3" x14ac:dyDescent="0.3">
      <c r="A159" t="s">
        <v>1032</v>
      </c>
      <c r="B159" t="s">
        <v>711</v>
      </c>
      <c r="C159" s="265">
        <v>20400</v>
      </c>
    </row>
    <row r="160" spans="1:3" x14ac:dyDescent="0.3">
      <c r="A160" t="s">
        <v>1033</v>
      </c>
      <c r="B160" t="s">
        <v>711</v>
      </c>
      <c r="C160" s="265">
        <v>1401</v>
      </c>
    </row>
    <row r="161" spans="1:3" x14ac:dyDescent="0.3">
      <c r="A161" t="s">
        <v>1034</v>
      </c>
      <c r="B161" s="265">
        <v>17759</v>
      </c>
      <c r="C161" t="s">
        <v>711</v>
      </c>
    </row>
    <row r="162" spans="1:3" x14ac:dyDescent="0.3">
      <c r="A162" t="s">
        <v>1035</v>
      </c>
      <c r="B162" t="s">
        <v>711</v>
      </c>
      <c r="C162" s="265">
        <v>3245</v>
      </c>
    </row>
    <row r="163" spans="1:3" x14ac:dyDescent="0.3">
      <c r="A163" t="s">
        <v>1036</v>
      </c>
      <c r="B163" t="s">
        <v>711</v>
      </c>
      <c r="C163">
        <v>680</v>
      </c>
    </row>
    <row r="164" spans="1:3" x14ac:dyDescent="0.3">
      <c r="A164" t="s">
        <v>1037</v>
      </c>
      <c r="B164" t="s">
        <v>711</v>
      </c>
      <c r="C164">
        <v>1</v>
      </c>
    </row>
    <row r="165" spans="1:3" x14ac:dyDescent="0.3">
      <c r="A165" t="s">
        <v>1038</v>
      </c>
      <c r="B165" t="s">
        <v>711</v>
      </c>
      <c r="C165">
        <v>156.43</v>
      </c>
    </row>
    <row r="166" spans="1:3" x14ac:dyDescent="0.3">
      <c r="A166" t="s">
        <v>1039</v>
      </c>
      <c r="B166" t="s">
        <v>711</v>
      </c>
      <c r="C166">
        <v>0.56000000000000005</v>
      </c>
    </row>
    <row r="167" spans="1:3" x14ac:dyDescent="0.3">
      <c r="A167" t="s">
        <v>1040</v>
      </c>
      <c r="B167" s="265">
        <v>11561</v>
      </c>
      <c r="C167" t="s">
        <v>711</v>
      </c>
    </row>
    <row r="168" spans="1:3" x14ac:dyDescent="0.3">
      <c r="A168" t="s">
        <v>1041</v>
      </c>
      <c r="B168" t="s">
        <v>711</v>
      </c>
      <c r="C168" s="265">
        <v>1600</v>
      </c>
    </row>
    <row r="169" spans="1:3" x14ac:dyDescent="0.3">
      <c r="A169" t="s">
        <v>1042</v>
      </c>
      <c r="B169" t="s">
        <v>711</v>
      </c>
      <c r="C169" t="s">
        <v>711</v>
      </c>
    </row>
    <row r="170" spans="1:3" x14ac:dyDescent="0.3">
      <c r="A170" t="s">
        <v>1043</v>
      </c>
      <c r="B170">
        <v>1</v>
      </c>
      <c r="C170" t="s">
        <v>711</v>
      </c>
    </row>
    <row r="171" spans="1:3" x14ac:dyDescent="0.3">
      <c r="A171" t="s">
        <v>1044</v>
      </c>
      <c r="B171" t="s">
        <v>711</v>
      </c>
      <c r="C171" s="265">
        <v>4650</v>
      </c>
    </row>
    <row r="172" spans="1:3" x14ac:dyDescent="0.3">
      <c r="A172" t="s">
        <v>1045</v>
      </c>
      <c r="B172">
        <v>1</v>
      </c>
      <c r="C172" t="s">
        <v>711</v>
      </c>
    </row>
    <row r="173" spans="1:3" x14ac:dyDescent="0.3">
      <c r="A173" t="s">
        <v>1046</v>
      </c>
      <c r="B173" t="s">
        <v>711</v>
      </c>
      <c r="C173" s="265">
        <v>1500</v>
      </c>
    </row>
    <row r="174" spans="1:3" x14ac:dyDescent="0.3">
      <c r="A174" t="s">
        <v>1309</v>
      </c>
      <c r="B174" s="265">
        <v>13274</v>
      </c>
      <c r="C174" t="s">
        <v>711</v>
      </c>
    </row>
    <row r="175" spans="1:3" x14ac:dyDescent="0.3">
      <c r="A175" t="s">
        <v>1047</v>
      </c>
      <c r="B175" t="s">
        <v>711</v>
      </c>
      <c r="C175">
        <v>505.7</v>
      </c>
    </row>
    <row r="176" spans="1:3" x14ac:dyDescent="0.3">
      <c r="A176" t="s">
        <v>1048</v>
      </c>
      <c r="B176" t="s">
        <v>711</v>
      </c>
      <c r="C176" t="s">
        <v>711</v>
      </c>
    </row>
    <row r="177" spans="1:3" x14ac:dyDescent="0.3">
      <c r="A177" t="s">
        <v>1049</v>
      </c>
      <c r="B177" t="s">
        <v>711</v>
      </c>
      <c r="C177" t="s">
        <v>711</v>
      </c>
    </row>
    <row r="178" spans="1:3" x14ac:dyDescent="0.3">
      <c r="A178" t="s">
        <v>1050</v>
      </c>
      <c r="B178" t="s">
        <v>711</v>
      </c>
      <c r="C178">
        <v>582</v>
      </c>
    </row>
    <row r="179" spans="1:3" x14ac:dyDescent="0.3">
      <c r="A179" t="s">
        <v>1051</v>
      </c>
      <c r="B179" t="s">
        <v>711</v>
      </c>
      <c r="C179" s="265">
        <v>30860</v>
      </c>
    </row>
    <row r="180" spans="1:3" x14ac:dyDescent="0.3">
      <c r="A180" t="s">
        <v>1052</v>
      </c>
      <c r="B180" t="s">
        <v>711</v>
      </c>
      <c r="C180" s="265">
        <v>2816</v>
      </c>
    </row>
    <row r="181" spans="1:3" x14ac:dyDescent="0.3">
      <c r="A181" t="s">
        <v>1053</v>
      </c>
      <c r="B181" t="s">
        <v>711</v>
      </c>
      <c r="C181" s="265">
        <v>6900</v>
      </c>
    </row>
    <row r="182" spans="1:3" x14ac:dyDescent="0.3">
      <c r="A182" t="s">
        <v>1054</v>
      </c>
      <c r="B182" t="s">
        <v>711</v>
      </c>
      <c r="C182">
        <v>83</v>
      </c>
    </row>
    <row r="183" spans="1:3" x14ac:dyDescent="0.3">
      <c r="A183" t="s">
        <v>1055</v>
      </c>
      <c r="B183" t="s">
        <v>711</v>
      </c>
      <c r="C183" s="265">
        <v>7000</v>
      </c>
    </row>
    <row r="184" spans="1:3" x14ac:dyDescent="0.3">
      <c r="A184" t="s">
        <v>1056</v>
      </c>
      <c r="B184" t="s">
        <v>711</v>
      </c>
      <c r="C184" s="265">
        <v>8350</v>
      </c>
    </row>
    <row r="185" spans="1:3" x14ac:dyDescent="0.3">
      <c r="A185" t="s">
        <v>1057</v>
      </c>
      <c r="B185">
        <v>200000</v>
      </c>
      <c r="C185" t="s">
        <v>711</v>
      </c>
    </row>
    <row r="186" spans="1:3" x14ac:dyDescent="0.3">
      <c r="A186" t="s">
        <v>1058</v>
      </c>
      <c r="B186" t="s">
        <v>711</v>
      </c>
      <c r="C186" s="265">
        <v>3095</v>
      </c>
    </row>
    <row r="187" spans="1:3" x14ac:dyDescent="0.3">
      <c r="A187" t="s">
        <v>1280</v>
      </c>
      <c r="B187" t="s">
        <v>711</v>
      </c>
      <c r="C187" s="265">
        <v>1416</v>
      </c>
    </row>
    <row r="188" spans="1:3" x14ac:dyDescent="0.3">
      <c r="A188" t="s">
        <v>1059</v>
      </c>
      <c r="B188" t="s">
        <v>711</v>
      </c>
      <c r="C188" s="265">
        <v>36136.300000000003</v>
      </c>
    </row>
    <row r="189" spans="1:3" x14ac:dyDescent="0.3">
      <c r="A189" t="s">
        <v>1060</v>
      </c>
      <c r="B189" t="s">
        <v>711</v>
      </c>
      <c r="C189" s="265">
        <v>6000</v>
      </c>
    </row>
    <row r="190" spans="1:3" x14ac:dyDescent="0.3">
      <c r="A190" t="s">
        <v>1061</v>
      </c>
      <c r="B190">
        <v>161</v>
      </c>
      <c r="C190" t="s">
        <v>711</v>
      </c>
    </row>
    <row r="191" spans="1:3" x14ac:dyDescent="0.3">
      <c r="A191" t="s">
        <v>1062</v>
      </c>
      <c r="B191" t="s">
        <v>711</v>
      </c>
      <c r="C191" s="265">
        <v>18411</v>
      </c>
    </row>
    <row r="192" spans="1:3" x14ac:dyDescent="0.3">
      <c r="A192" t="s">
        <v>1063</v>
      </c>
      <c r="B192" s="265">
        <v>1133</v>
      </c>
      <c r="C192" t="s">
        <v>711</v>
      </c>
    </row>
    <row r="193" spans="1:3" x14ac:dyDescent="0.3">
      <c r="A193" t="s">
        <v>1064</v>
      </c>
      <c r="B193" t="s">
        <v>711</v>
      </c>
      <c r="C193" s="265">
        <v>88467</v>
      </c>
    </row>
    <row r="194" spans="1:3" x14ac:dyDescent="0.3">
      <c r="A194" t="s">
        <v>1065</v>
      </c>
      <c r="B194" t="s">
        <v>711</v>
      </c>
      <c r="C194" s="265">
        <v>1575</v>
      </c>
    </row>
    <row r="195" spans="1:3" x14ac:dyDescent="0.3">
      <c r="A195" t="s">
        <v>1227</v>
      </c>
      <c r="B195" t="s">
        <v>711</v>
      </c>
      <c r="C195" s="265">
        <v>6490</v>
      </c>
    </row>
    <row r="196" spans="1:3" x14ac:dyDescent="0.3">
      <c r="A196" t="s">
        <v>1066</v>
      </c>
      <c r="B196" t="s">
        <v>711</v>
      </c>
      <c r="C196" s="265">
        <v>2124</v>
      </c>
    </row>
    <row r="197" spans="1:3" x14ac:dyDescent="0.3">
      <c r="A197" t="s">
        <v>1228</v>
      </c>
      <c r="B197" t="s">
        <v>711</v>
      </c>
      <c r="C197" s="265">
        <v>58692</v>
      </c>
    </row>
    <row r="198" spans="1:3" x14ac:dyDescent="0.3">
      <c r="A198" t="s">
        <v>1229</v>
      </c>
      <c r="B198" t="s">
        <v>711</v>
      </c>
      <c r="C198" s="265">
        <v>12850</v>
      </c>
    </row>
    <row r="199" spans="1:3" x14ac:dyDescent="0.3">
      <c r="A199" t="s">
        <v>1067</v>
      </c>
      <c r="B199" t="s">
        <v>711</v>
      </c>
      <c r="C199" s="265">
        <v>2061</v>
      </c>
    </row>
    <row r="200" spans="1:3" x14ac:dyDescent="0.3">
      <c r="A200" t="s">
        <v>1068</v>
      </c>
      <c r="B200" t="s">
        <v>711</v>
      </c>
      <c r="C200" s="265">
        <v>12142</v>
      </c>
    </row>
    <row r="201" spans="1:3" x14ac:dyDescent="0.3">
      <c r="A201" t="s">
        <v>1069</v>
      </c>
      <c r="B201" t="s">
        <v>711</v>
      </c>
      <c r="C201" s="265">
        <v>19645</v>
      </c>
    </row>
    <row r="202" spans="1:3" x14ac:dyDescent="0.3">
      <c r="A202" t="s">
        <v>1070</v>
      </c>
      <c r="B202" t="s">
        <v>711</v>
      </c>
      <c r="C202" s="265">
        <v>11400</v>
      </c>
    </row>
    <row r="203" spans="1:3" x14ac:dyDescent="0.3">
      <c r="A203" t="s">
        <v>1071</v>
      </c>
      <c r="B203" t="s">
        <v>711</v>
      </c>
      <c r="C203" s="265">
        <v>7720</v>
      </c>
    </row>
    <row r="204" spans="1:3" x14ac:dyDescent="0.3">
      <c r="A204" t="s">
        <v>1072</v>
      </c>
      <c r="B204" t="s">
        <v>711</v>
      </c>
      <c r="C204" s="265">
        <v>3371</v>
      </c>
    </row>
    <row r="205" spans="1:3" x14ac:dyDescent="0.3">
      <c r="A205" t="s">
        <v>1073</v>
      </c>
      <c r="B205" t="s">
        <v>711</v>
      </c>
      <c r="C205">
        <v>21</v>
      </c>
    </row>
    <row r="206" spans="1:3" x14ac:dyDescent="0.3">
      <c r="A206" t="s">
        <v>1074</v>
      </c>
      <c r="B206" t="s">
        <v>711</v>
      </c>
      <c r="C206" s="265">
        <v>3350</v>
      </c>
    </row>
    <row r="207" spans="1:3" x14ac:dyDescent="0.3">
      <c r="A207" t="s">
        <v>1075</v>
      </c>
      <c r="B207" t="s">
        <v>711</v>
      </c>
      <c r="C207">
        <v>802872</v>
      </c>
    </row>
    <row r="208" spans="1:3" x14ac:dyDescent="0.3">
      <c r="A208" t="s">
        <v>1076</v>
      </c>
      <c r="B208" t="s">
        <v>711</v>
      </c>
      <c r="C208" s="265">
        <v>44690</v>
      </c>
    </row>
    <row r="209" spans="1:3" x14ac:dyDescent="0.3">
      <c r="A209" t="s">
        <v>1077</v>
      </c>
      <c r="B209" t="s">
        <v>711</v>
      </c>
      <c r="C209" s="265">
        <v>20935.599999999999</v>
      </c>
    </row>
    <row r="210" spans="1:3" x14ac:dyDescent="0.3">
      <c r="A210" t="s">
        <v>1078</v>
      </c>
      <c r="B210">
        <v>1</v>
      </c>
      <c r="C210" t="s">
        <v>711</v>
      </c>
    </row>
    <row r="211" spans="1:3" x14ac:dyDescent="0.3">
      <c r="A211" t="s">
        <v>1079</v>
      </c>
      <c r="B211" t="s">
        <v>711</v>
      </c>
      <c r="C211">
        <v>132396.79999999999</v>
      </c>
    </row>
    <row r="212" spans="1:3" x14ac:dyDescent="0.3">
      <c r="A212" t="s">
        <v>1080</v>
      </c>
      <c r="B212" t="s">
        <v>711</v>
      </c>
      <c r="C212" s="88">
        <v>1348501</v>
      </c>
    </row>
    <row r="213" spans="1:3" x14ac:dyDescent="0.3">
      <c r="A213" t="s">
        <v>1081</v>
      </c>
      <c r="B213" s="265">
        <v>8350</v>
      </c>
      <c r="C213" t="s">
        <v>711</v>
      </c>
    </row>
    <row r="214" spans="1:3" x14ac:dyDescent="0.3">
      <c r="A214" t="s">
        <v>1082</v>
      </c>
      <c r="B214" t="s">
        <v>711</v>
      </c>
      <c r="C214" t="s">
        <v>711</v>
      </c>
    </row>
    <row r="215" spans="1:3" x14ac:dyDescent="0.3">
      <c r="A215" t="s">
        <v>1083</v>
      </c>
      <c r="B215" t="s">
        <v>711</v>
      </c>
      <c r="C215">
        <v>186041</v>
      </c>
    </row>
    <row r="216" spans="1:3" x14ac:dyDescent="0.3">
      <c r="A216" t="s">
        <v>1084</v>
      </c>
      <c r="B216" t="s">
        <v>711</v>
      </c>
      <c r="C216">
        <v>213314</v>
      </c>
    </row>
    <row r="217" spans="1:3" x14ac:dyDescent="0.3">
      <c r="A217" t="s">
        <v>1085</v>
      </c>
      <c r="B217" t="s">
        <v>711</v>
      </c>
      <c r="C217" s="265">
        <v>14160</v>
      </c>
    </row>
    <row r="218" spans="1:3" x14ac:dyDescent="0.3">
      <c r="A218" t="s">
        <v>1086</v>
      </c>
      <c r="B218" t="s">
        <v>711</v>
      </c>
      <c r="C218" s="265">
        <v>6785</v>
      </c>
    </row>
    <row r="219" spans="1:3" x14ac:dyDescent="0.3">
      <c r="A219" t="s">
        <v>1087</v>
      </c>
      <c r="B219" t="s">
        <v>711</v>
      </c>
      <c r="C219" s="265">
        <v>18808.400000000001</v>
      </c>
    </row>
    <row r="220" spans="1:3" x14ac:dyDescent="0.3">
      <c r="A220" t="s">
        <v>1088</v>
      </c>
      <c r="B220">
        <v>700790</v>
      </c>
      <c r="C220" t="s">
        <v>711</v>
      </c>
    </row>
    <row r="221" spans="1:3" x14ac:dyDescent="0.3">
      <c r="A221" t="s">
        <v>1089</v>
      </c>
      <c r="B221">
        <v>146202</v>
      </c>
      <c r="C221" t="s">
        <v>711</v>
      </c>
    </row>
    <row r="222" spans="1:3" x14ac:dyDescent="0.3">
      <c r="A222" t="s">
        <v>1090</v>
      </c>
      <c r="B222" t="s">
        <v>711</v>
      </c>
      <c r="C222" s="265">
        <v>12862</v>
      </c>
    </row>
    <row r="223" spans="1:3" x14ac:dyDescent="0.3">
      <c r="A223" t="s">
        <v>1091</v>
      </c>
      <c r="B223" t="s">
        <v>711</v>
      </c>
      <c r="C223">
        <v>164766</v>
      </c>
    </row>
    <row r="224" spans="1:3" x14ac:dyDescent="0.3">
      <c r="A224" t="s">
        <v>1092</v>
      </c>
      <c r="B224" s="265">
        <v>24379</v>
      </c>
      <c r="C224" t="s">
        <v>711</v>
      </c>
    </row>
    <row r="225" spans="1:3" x14ac:dyDescent="0.3">
      <c r="A225" t="s">
        <v>1093</v>
      </c>
      <c r="B225" t="s">
        <v>711</v>
      </c>
      <c r="C225">
        <v>1.2</v>
      </c>
    </row>
    <row r="226" spans="1:3" x14ac:dyDescent="0.3">
      <c r="A226" t="s">
        <v>1094</v>
      </c>
      <c r="B226" t="s">
        <v>711</v>
      </c>
      <c r="C226" s="265">
        <v>92160</v>
      </c>
    </row>
    <row r="227" spans="1:3" x14ac:dyDescent="0.3">
      <c r="A227" t="s">
        <v>1095</v>
      </c>
      <c r="B227" t="s">
        <v>711</v>
      </c>
      <c r="C227" s="265">
        <v>4250</v>
      </c>
    </row>
    <row r="228" spans="1:3" x14ac:dyDescent="0.3">
      <c r="A228" t="s">
        <v>1096</v>
      </c>
      <c r="B228" t="s">
        <v>711</v>
      </c>
      <c r="C228" s="265">
        <v>1400</v>
      </c>
    </row>
    <row r="229" spans="1:3" x14ac:dyDescent="0.3">
      <c r="A229" t="s">
        <v>1097</v>
      </c>
      <c r="B229" t="s">
        <v>711</v>
      </c>
      <c r="C229" s="88">
        <v>3734770.09</v>
      </c>
    </row>
    <row r="230" spans="1:3" x14ac:dyDescent="0.3">
      <c r="A230" t="s">
        <v>1098</v>
      </c>
      <c r="B230" t="s">
        <v>711</v>
      </c>
      <c r="C230" s="265">
        <v>25950</v>
      </c>
    </row>
    <row r="231" spans="1:3" x14ac:dyDescent="0.3">
      <c r="A231" t="s">
        <v>1099</v>
      </c>
      <c r="B231" t="s">
        <v>711</v>
      </c>
      <c r="C231">
        <v>104458.7</v>
      </c>
    </row>
    <row r="232" spans="1:3" x14ac:dyDescent="0.3">
      <c r="A232" t="s">
        <v>1230</v>
      </c>
      <c r="B232" t="s">
        <v>711</v>
      </c>
      <c r="C232" t="s">
        <v>711</v>
      </c>
    </row>
    <row r="233" spans="1:3" x14ac:dyDescent="0.3">
      <c r="A233" t="s">
        <v>1100</v>
      </c>
      <c r="B233" t="s">
        <v>711</v>
      </c>
      <c r="C233" s="265">
        <v>8123</v>
      </c>
    </row>
    <row r="234" spans="1:3" x14ac:dyDescent="0.3">
      <c r="A234" t="s">
        <v>1101</v>
      </c>
      <c r="B234" t="s">
        <v>711</v>
      </c>
      <c r="C234" s="265">
        <v>14623</v>
      </c>
    </row>
    <row r="235" spans="1:3" x14ac:dyDescent="0.3">
      <c r="A235" t="s">
        <v>1102</v>
      </c>
      <c r="B235" t="s">
        <v>711</v>
      </c>
      <c r="C235" s="265">
        <v>1066</v>
      </c>
    </row>
    <row r="236" spans="1:3" x14ac:dyDescent="0.3">
      <c r="A236" t="s">
        <v>1103</v>
      </c>
      <c r="B236" t="s">
        <v>711</v>
      </c>
      <c r="C236" s="265">
        <v>10400</v>
      </c>
    </row>
    <row r="237" spans="1:3" x14ac:dyDescent="0.3">
      <c r="A237" t="s">
        <v>1104</v>
      </c>
      <c r="B237">
        <v>14</v>
      </c>
      <c r="C237" t="s">
        <v>711</v>
      </c>
    </row>
    <row r="238" spans="1:3" x14ac:dyDescent="0.3">
      <c r="A238" t="s">
        <v>1105</v>
      </c>
      <c r="B238" t="s">
        <v>711</v>
      </c>
      <c r="C238" s="265">
        <v>2389</v>
      </c>
    </row>
    <row r="239" spans="1:3" x14ac:dyDescent="0.3">
      <c r="A239" t="s">
        <v>1106</v>
      </c>
      <c r="B239" s="265">
        <v>25947</v>
      </c>
      <c r="C239" t="s">
        <v>711</v>
      </c>
    </row>
    <row r="240" spans="1:3" x14ac:dyDescent="0.3">
      <c r="A240" t="s">
        <v>1107</v>
      </c>
      <c r="B240" t="s">
        <v>711</v>
      </c>
      <c r="C240" s="88">
        <v>864000.48</v>
      </c>
    </row>
    <row r="241" spans="1:3" x14ac:dyDescent="0.3">
      <c r="A241" t="s">
        <v>1108</v>
      </c>
      <c r="B241" t="s">
        <v>711</v>
      </c>
      <c r="C241" s="88">
        <v>432000.48</v>
      </c>
    </row>
    <row r="242" spans="1:3" x14ac:dyDescent="0.3">
      <c r="A242" t="s">
        <v>1109</v>
      </c>
      <c r="B242" t="s">
        <v>711</v>
      </c>
      <c r="C242">
        <v>100000</v>
      </c>
    </row>
    <row r="243" spans="1:3" x14ac:dyDescent="0.3">
      <c r="A243" t="s">
        <v>1281</v>
      </c>
      <c r="B243" t="s">
        <v>711</v>
      </c>
      <c r="C243" s="265">
        <v>16200</v>
      </c>
    </row>
    <row r="244" spans="1:3" x14ac:dyDescent="0.3">
      <c r="A244" t="s">
        <v>1282</v>
      </c>
      <c r="B244" t="s">
        <v>711</v>
      </c>
      <c r="C244" s="265">
        <v>54000</v>
      </c>
    </row>
    <row r="245" spans="1:3" x14ac:dyDescent="0.3">
      <c r="A245" t="s">
        <v>1231</v>
      </c>
      <c r="B245" t="s">
        <v>711</v>
      </c>
      <c r="C245">
        <v>110700</v>
      </c>
    </row>
    <row r="246" spans="1:3" x14ac:dyDescent="0.3">
      <c r="A246" t="s">
        <v>1110</v>
      </c>
      <c r="B246" t="s">
        <v>711</v>
      </c>
      <c r="C246">
        <v>795334</v>
      </c>
    </row>
    <row r="247" spans="1:3" x14ac:dyDescent="0.3">
      <c r="A247" t="s">
        <v>1111</v>
      </c>
      <c r="B247" t="s">
        <v>711</v>
      </c>
      <c r="C247" s="265">
        <v>84839</v>
      </c>
    </row>
    <row r="248" spans="1:3" x14ac:dyDescent="0.3">
      <c r="A248" t="s">
        <v>1112</v>
      </c>
      <c r="B248" s="265">
        <v>8310</v>
      </c>
      <c r="C248" t="s">
        <v>711</v>
      </c>
    </row>
    <row r="249" spans="1:3" x14ac:dyDescent="0.3">
      <c r="A249" t="s">
        <v>1232</v>
      </c>
      <c r="B249" t="s">
        <v>711</v>
      </c>
      <c r="C249">
        <v>179280</v>
      </c>
    </row>
    <row r="250" spans="1:3" x14ac:dyDescent="0.3">
      <c r="A250" t="s">
        <v>1113</v>
      </c>
      <c r="B250" t="s">
        <v>711</v>
      </c>
      <c r="C250" t="s">
        <v>711</v>
      </c>
    </row>
    <row r="251" spans="1:3" x14ac:dyDescent="0.3">
      <c r="A251" t="s">
        <v>1114</v>
      </c>
      <c r="B251" t="s">
        <v>711</v>
      </c>
      <c r="C251">
        <v>50</v>
      </c>
    </row>
    <row r="252" spans="1:3" x14ac:dyDescent="0.3">
      <c r="A252" t="s">
        <v>1115</v>
      </c>
      <c r="B252" s="265">
        <v>1829</v>
      </c>
      <c r="C252" t="s">
        <v>711</v>
      </c>
    </row>
    <row r="253" spans="1:3" x14ac:dyDescent="0.3">
      <c r="A253" t="s">
        <v>1116</v>
      </c>
      <c r="B253" s="265">
        <v>64519</v>
      </c>
      <c r="C253" t="s">
        <v>711</v>
      </c>
    </row>
    <row r="254" spans="1:3" x14ac:dyDescent="0.3">
      <c r="A254" t="s">
        <v>1117</v>
      </c>
      <c r="B254" t="s">
        <v>711</v>
      </c>
      <c r="C254" s="265">
        <v>75570</v>
      </c>
    </row>
    <row r="255" spans="1:3" x14ac:dyDescent="0.3">
      <c r="A255" t="s">
        <v>1118</v>
      </c>
      <c r="B255" t="s">
        <v>711</v>
      </c>
      <c r="C255" s="265">
        <v>21033</v>
      </c>
    </row>
    <row r="256" spans="1:3" x14ac:dyDescent="0.3">
      <c r="A256" t="s">
        <v>1119</v>
      </c>
      <c r="B256" t="s">
        <v>711</v>
      </c>
      <c r="C256" s="265">
        <v>8693.7999999999993</v>
      </c>
    </row>
    <row r="257" spans="1:3" x14ac:dyDescent="0.3">
      <c r="A257" t="s">
        <v>1120</v>
      </c>
      <c r="B257" t="s">
        <v>711</v>
      </c>
      <c r="C257">
        <v>413.18</v>
      </c>
    </row>
    <row r="258" spans="1:3" x14ac:dyDescent="0.3">
      <c r="A258" t="s">
        <v>1283</v>
      </c>
      <c r="B258" t="s">
        <v>711</v>
      </c>
      <c r="C258">
        <v>850</v>
      </c>
    </row>
    <row r="259" spans="1:3" x14ac:dyDescent="0.3">
      <c r="A259" t="s">
        <v>1121</v>
      </c>
      <c r="B259">
        <v>11</v>
      </c>
      <c r="C259" t="s">
        <v>711</v>
      </c>
    </row>
    <row r="260" spans="1:3" x14ac:dyDescent="0.3">
      <c r="A260" t="s">
        <v>1122</v>
      </c>
      <c r="B260" t="s">
        <v>711</v>
      </c>
      <c r="C260" s="265">
        <v>6650.12</v>
      </c>
    </row>
    <row r="261" spans="1:3" x14ac:dyDescent="0.3">
      <c r="A261" t="s">
        <v>1123</v>
      </c>
      <c r="B261" t="s">
        <v>711</v>
      </c>
      <c r="C261" s="265">
        <v>42958</v>
      </c>
    </row>
    <row r="262" spans="1:3" x14ac:dyDescent="0.3">
      <c r="A262" t="s">
        <v>1124</v>
      </c>
      <c r="B262">
        <v>135250</v>
      </c>
      <c r="C262" t="s">
        <v>711</v>
      </c>
    </row>
    <row r="263" spans="1:3" x14ac:dyDescent="0.3">
      <c r="A263" t="s">
        <v>1125</v>
      </c>
      <c r="B263" t="s">
        <v>711</v>
      </c>
      <c r="C263" s="265">
        <v>6050</v>
      </c>
    </row>
    <row r="264" spans="1:3" x14ac:dyDescent="0.3">
      <c r="A264" t="s">
        <v>1126</v>
      </c>
      <c r="B264" s="265">
        <v>3125</v>
      </c>
      <c r="C264" t="s">
        <v>711</v>
      </c>
    </row>
    <row r="265" spans="1:3" x14ac:dyDescent="0.3">
      <c r="A265" t="s">
        <v>1127</v>
      </c>
      <c r="B265" s="265">
        <v>84940</v>
      </c>
      <c r="C265" t="s">
        <v>711</v>
      </c>
    </row>
    <row r="266" spans="1:3" x14ac:dyDescent="0.3">
      <c r="A266" t="s">
        <v>1128</v>
      </c>
      <c r="B266" t="s">
        <v>711</v>
      </c>
      <c r="C266" s="88">
        <v>1269864.74</v>
      </c>
    </row>
    <row r="267" spans="1:3" x14ac:dyDescent="0.3">
      <c r="A267" t="s">
        <v>1129</v>
      </c>
      <c r="B267">
        <v>7821102</v>
      </c>
      <c r="C267" t="s">
        <v>711</v>
      </c>
    </row>
    <row r="268" spans="1:3" x14ac:dyDescent="0.3">
      <c r="A268" t="s">
        <v>1284</v>
      </c>
      <c r="B268" s="265">
        <v>11980</v>
      </c>
      <c r="C268" t="s">
        <v>711</v>
      </c>
    </row>
    <row r="269" spans="1:3" x14ac:dyDescent="0.3">
      <c r="A269" t="s">
        <v>1130</v>
      </c>
      <c r="B269" t="s">
        <v>711</v>
      </c>
      <c r="C269">
        <v>303413</v>
      </c>
    </row>
    <row r="270" spans="1:3" x14ac:dyDescent="0.3">
      <c r="A270" t="s">
        <v>1131</v>
      </c>
      <c r="B270">
        <v>139200</v>
      </c>
      <c r="C270" t="s">
        <v>711</v>
      </c>
    </row>
    <row r="271" spans="1:3" x14ac:dyDescent="0.3">
      <c r="A271" t="s">
        <v>1132</v>
      </c>
      <c r="B271" s="265">
        <v>55996</v>
      </c>
      <c r="C271" t="s">
        <v>711</v>
      </c>
    </row>
    <row r="272" spans="1:3" x14ac:dyDescent="0.3">
      <c r="A272" t="s">
        <v>1285</v>
      </c>
      <c r="B272" s="265">
        <v>6561</v>
      </c>
      <c r="C272" t="s">
        <v>711</v>
      </c>
    </row>
    <row r="273" spans="1:3" x14ac:dyDescent="0.3">
      <c r="A273" t="s">
        <v>1286</v>
      </c>
      <c r="B273">
        <v>0.4</v>
      </c>
      <c r="C273" t="s">
        <v>711</v>
      </c>
    </row>
    <row r="274" spans="1:3" x14ac:dyDescent="0.3">
      <c r="A274" t="s">
        <v>1133</v>
      </c>
      <c r="B274" s="265">
        <v>40999</v>
      </c>
      <c r="C274" t="s">
        <v>711</v>
      </c>
    </row>
    <row r="275" spans="1:3" x14ac:dyDescent="0.3">
      <c r="A275" t="s">
        <v>1233</v>
      </c>
      <c r="B275" t="s">
        <v>711</v>
      </c>
      <c r="C275" s="265">
        <v>12017</v>
      </c>
    </row>
    <row r="276" spans="1:3" x14ac:dyDescent="0.3">
      <c r="A276" t="s">
        <v>1134</v>
      </c>
      <c r="B276">
        <v>233791.8</v>
      </c>
      <c r="C276" t="s">
        <v>711</v>
      </c>
    </row>
    <row r="277" spans="1:3" x14ac:dyDescent="0.3">
      <c r="A277" t="s">
        <v>1135</v>
      </c>
      <c r="B277">
        <v>469696.18</v>
      </c>
      <c r="C277" t="s">
        <v>711</v>
      </c>
    </row>
    <row r="278" spans="1:3" x14ac:dyDescent="0.3">
      <c r="A278" t="s">
        <v>1136</v>
      </c>
      <c r="B278">
        <v>262069</v>
      </c>
      <c r="C278" t="s">
        <v>711</v>
      </c>
    </row>
    <row r="279" spans="1:3" x14ac:dyDescent="0.3">
      <c r="A279" t="s">
        <v>1137</v>
      </c>
      <c r="B279" s="265">
        <v>50000</v>
      </c>
      <c r="C279" t="s">
        <v>711</v>
      </c>
    </row>
    <row r="280" spans="1:3" x14ac:dyDescent="0.3">
      <c r="A280" t="s">
        <v>1138</v>
      </c>
      <c r="B280" t="s">
        <v>711</v>
      </c>
      <c r="C280" s="265">
        <v>1046</v>
      </c>
    </row>
    <row r="281" spans="1:3" x14ac:dyDescent="0.3">
      <c r="A281" t="s">
        <v>1139</v>
      </c>
      <c r="B281" t="s">
        <v>711</v>
      </c>
      <c r="C281" s="88">
        <v>9869542</v>
      </c>
    </row>
    <row r="282" spans="1:3" x14ac:dyDescent="0.3">
      <c r="A282" t="s">
        <v>1140</v>
      </c>
      <c r="B282" s="265">
        <v>28158</v>
      </c>
      <c r="C282" t="s">
        <v>711</v>
      </c>
    </row>
    <row r="283" spans="1:3" x14ac:dyDescent="0.3">
      <c r="A283" t="s">
        <v>1141</v>
      </c>
      <c r="B283" t="s">
        <v>711</v>
      </c>
      <c r="C283" s="265">
        <v>3865</v>
      </c>
    </row>
    <row r="284" spans="1:3" x14ac:dyDescent="0.3">
      <c r="A284" t="s">
        <v>1142</v>
      </c>
      <c r="B284" t="s">
        <v>711</v>
      </c>
      <c r="C284" s="265">
        <v>12592.3</v>
      </c>
    </row>
    <row r="285" spans="1:3" x14ac:dyDescent="0.3">
      <c r="A285" t="s">
        <v>1143</v>
      </c>
      <c r="B285" t="s">
        <v>711</v>
      </c>
      <c r="C285" s="265">
        <v>1531</v>
      </c>
    </row>
    <row r="288" spans="1:3" x14ac:dyDescent="0.3">
      <c r="B288">
        <f>SUM(B8:B287)</f>
        <v>14473247.99</v>
      </c>
      <c r="C288">
        <f>SUM(C8:C287)</f>
        <v>58110008.949999981</v>
      </c>
    </row>
    <row r="290" spans="1:3" x14ac:dyDescent="0.3">
      <c r="B290" t="s">
        <v>211</v>
      </c>
      <c r="C290">
        <f>+C288-B288</f>
        <v>43636760.959999979</v>
      </c>
    </row>
    <row r="291" spans="1:3" x14ac:dyDescent="0.3">
      <c r="C291">
        <f>+B42</f>
        <v>3105000</v>
      </c>
    </row>
    <row r="293" spans="1:3" x14ac:dyDescent="0.3">
      <c r="C293">
        <f>+C290+C291</f>
        <v>46741760.959999979</v>
      </c>
    </row>
    <row r="294" spans="1:3" x14ac:dyDescent="0.3">
      <c r="C294">
        <f>+C3</f>
        <v>13159942</v>
      </c>
    </row>
    <row r="295" spans="1:3" x14ac:dyDescent="0.3">
      <c r="A295" t="s">
        <v>1321</v>
      </c>
      <c r="C295">
        <v>200000</v>
      </c>
    </row>
    <row r="296" spans="1:3" x14ac:dyDescent="0.3">
      <c r="C296" s="1">
        <f>SUM(C293:C295)</f>
        <v>60101702.959999979</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7"/>
  <sheetViews>
    <sheetView workbookViewId="0">
      <selection activeCell="C5" sqref="C5"/>
    </sheetView>
  </sheetViews>
  <sheetFormatPr defaultRowHeight="14.4" x14ac:dyDescent="0.3"/>
  <cols>
    <col min="1" max="1" width="58.109375" customWidth="1"/>
    <col min="2" max="2" width="20.88671875" style="178" bestFit="1" customWidth="1"/>
    <col min="3" max="3" width="21" style="178" bestFit="1" customWidth="1"/>
  </cols>
  <sheetData>
    <row r="1" spans="1:3" x14ac:dyDescent="0.3">
      <c r="A1" t="s">
        <v>707</v>
      </c>
      <c r="B1" s="178" t="s">
        <v>708</v>
      </c>
      <c r="C1" s="178" t="s">
        <v>709</v>
      </c>
    </row>
    <row r="2" spans="1:3" x14ac:dyDescent="0.3">
      <c r="A2" t="s">
        <v>710</v>
      </c>
      <c r="B2" s="178">
        <v>107612982.5</v>
      </c>
      <c r="C2" s="178" t="s">
        <v>711</v>
      </c>
    </row>
    <row r="3" spans="1:3" x14ac:dyDescent="0.3">
      <c r="A3" t="s">
        <v>1180</v>
      </c>
      <c r="B3" s="178">
        <v>10325.64</v>
      </c>
      <c r="C3" s="178" t="s">
        <v>711</v>
      </c>
    </row>
    <row r="4" spans="1:3" x14ac:dyDescent="0.3">
      <c r="A4" t="s">
        <v>712</v>
      </c>
      <c r="B4" s="178">
        <v>78289184.560000002</v>
      </c>
      <c r="C4" s="178" t="s">
        <v>711</v>
      </c>
    </row>
    <row r="5" spans="1:3" x14ac:dyDescent="0.3">
      <c r="A5" t="s">
        <v>713</v>
      </c>
      <c r="B5" s="178">
        <v>2033262.42</v>
      </c>
      <c r="C5" s="178" t="s">
        <v>711</v>
      </c>
    </row>
    <row r="6" spans="1:3" x14ac:dyDescent="0.3">
      <c r="A6" t="s">
        <v>714</v>
      </c>
      <c r="B6" s="178">
        <v>6830005.1699999999</v>
      </c>
      <c r="C6" s="178" t="s">
        <v>711</v>
      </c>
    </row>
    <row r="7" spans="1:3" x14ac:dyDescent="0.3">
      <c r="A7" t="s">
        <v>715</v>
      </c>
      <c r="B7" s="178">
        <v>20450204.710000001</v>
      </c>
      <c r="C7" s="178" t="s">
        <v>711</v>
      </c>
    </row>
    <row r="8" spans="1:3" x14ac:dyDescent="0.3">
      <c r="A8" t="s">
        <v>716</v>
      </c>
      <c r="B8" s="178" t="s">
        <v>711</v>
      </c>
      <c r="C8" s="178">
        <v>218055047.36000001</v>
      </c>
    </row>
    <row r="9" spans="1:3" x14ac:dyDescent="0.3">
      <c r="A9" t="s">
        <v>717</v>
      </c>
      <c r="B9" s="178" t="s">
        <v>711</v>
      </c>
      <c r="C9" s="178">
        <v>218055047.36000001</v>
      </c>
    </row>
    <row r="10" spans="1:3" x14ac:dyDescent="0.3">
      <c r="A10" t="s">
        <v>718</v>
      </c>
      <c r="B10" s="178">
        <v>426863197.89999998</v>
      </c>
      <c r="C10" s="178" t="s">
        <v>711</v>
      </c>
    </row>
    <row r="11" spans="1:3" x14ac:dyDescent="0.3">
      <c r="A11" t="s">
        <v>719</v>
      </c>
      <c r="B11" s="178">
        <v>191779303.50999999</v>
      </c>
      <c r="C11" s="178" t="s">
        <v>711</v>
      </c>
    </row>
    <row r="12" spans="1:3" x14ac:dyDescent="0.3">
      <c r="A12" t="s">
        <v>720</v>
      </c>
      <c r="B12" s="178">
        <v>8086382</v>
      </c>
      <c r="C12" s="178" t="s">
        <v>711</v>
      </c>
    </row>
    <row r="13" spans="1:3" x14ac:dyDescent="0.3">
      <c r="A13" t="s">
        <v>721</v>
      </c>
      <c r="B13" s="178">
        <v>79050000</v>
      </c>
      <c r="C13" s="178" t="s">
        <v>711</v>
      </c>
    </row>
    <row r="14" spans="1:3" x14ac:dyDescent="0.3">
      <c r="A14" t="s">
        <v>722</v>
      </c>
      <c r="B14" s="178">
        <v>19425551.399999999</v>
      </c>
      <c r="C14" s="178" t="s">
        <v>711</v>
      </c>
    </row>
    <row r="15" spans="1:3" x14ac:dyDescent="0.3">
      <c r="A15" t="s">
        <v>723</v>
      </c>
      <c r="B15" s="178">
        <v>270762574</v>
      </c>
      <c r="C15" s="178" t="s">
        <v>711</v>
      </c>
    </row>
    <row r="16" spans="1:3" x14ac:dyDescent="0.3">
      <c r="A16" t="s">
        <v>724</v>
      </c>
      <c r="B16" s="178">
        <v>2586171</v>
      </c>
      <c r="C16" s="178" t="s">
        <v>711</v>
      </c>
    </row>
    <row r="17" spans="1:3" x14ac:dyDescent="0.3">
      <c r="A17" t="s">
        <v>725</v>
      </c>
      <c r="B17" s="178">
        <v>8700838.6600000001</v>
      </c>
      <c r="C17" s="178" t="s">
        <v>711</v>
      </c>
    </row>
    <row r="18" spans="1:3" x14ac:dyDescent="0.3">
      <c r="A18" t="s">
        <v>726</v>
      </c>
      <c r="B18" s="178">
        <v>1441407.62</v>
      </c>
      <c r="C18" s="178" t="s">
        <v>711</v>
      </c>
    </row>
    <row r="19" spans="1:3" x14ac:dyDescent="0.3">
      <c r="A19" t="s">
        <v>727</v>
      </c>
      <c r="B19" s="178">
        <v>1895096.83</v>
      </c>
      <c r="C19" s="178" t="s">
        <v>711</v>
      </c>
    </row>
    <row r="20" spans="1:3" x14ac:dyDescent="0.3">
      <c r="A20" t="s">
        <v>728</v>
      </c>
      <c r="B20" s="178" t="s">
        <v>711</v>
      </c>
      <c r="C20" s="178">
        <v>265298848</v>
      </c>
    </row>
    <row r="21" spans="1:3" x14ac:dyDescent="0.3">
      <c r="A21" t="s">
        <v>729</v>
      </c>
      <c r="B21" s="178">
        <v>65130130</v>
      </c>
      <c r="C21" s="178" t="s">
        <v>711</v>
      </c>
    </row>
    <row r="22" spans="1:3" x14ac:dyDescent="0.3">
      <c r="A22" t="s">
        <v>730</v>
      </c>
      <c r="B22" s="178" t="s">
        <v>711</v>
      </c>
      <c r="C22" s="178">
        <v>225608003</v>
      </c>
    </row>
    <row r="23" spans="1:3" x14ac:dyDescent="0.3">
      <c r="A23" t="s">
        <v>731</v>
      </c>
      <c r="B23" s="178" t="s">
        <v>711</v>
      </c>
      <c r="C23" s="178">
        <v>77001003</v>
      </c>
    </row>
    <row r="24" spans="1:3" x14ac:dyDescent="0.3">
      <c r="A24" t="s">
        <v>732</v>
      </c>
      <c r="B24" s="178" t="s">
        <v>711</v>
      </c>
      <c r="C24" s="178">
        <v>148607000</v>
      </c>
    </row>
    <row r="25" spans="1:3" x14ac:dyDescent="0.3">
      <c r="A25" t="s">
        <v>733</v>
      </c>
      <c r="B25" s="178" t="s">
        <v>711</v>
      </c>
      <c r="C25" s="178">
        <v>321284872.81999999</v>
      </c>
    </row>
    <row r="26" spans="1:3" x14ac:dyDescent="0.3">
      <c r="A26" t="s">
        <v>734</v>
      </c>
      <c r="B26" s="178" t="s">
        <v>711</v>
      </c>
      <c r="C26" s="178">
        <v>13953173.67</v>
      </c>
    </row>
    <row r="27" spans="1:3" x14ac:dyDescent="0.3">
      <c r="A27" t="s">
        <v>1270</v>
      </c>
      <c r="B27" s="178" t="s">
        <v>711</v>
      </c>
      <c r="C27" s="178">
        <v>900000</v>
      </c>
    </row>
    <row r="28" spans="1:3" x14ac:dyDescent="0.3">
      <c r="A28" t="s">
        <v>735</v>
      </c>
      <c r="B28" s="178" t="s">
        <v>711</v>
      </c>
      <c r="C28" s="178">
        <v>1132542.28</v>
      </c>
    </row>
    <row r="29" spans="1:3" x14ac:dyDescent="0.3">
      <c r="A29" t="s">
        <v>736</v>
      </c>
      <c r="B29" s="178" t="s">
        <v>711</v>
      </c>
      <c r="C29" s="178">
        <v>48630965.25</v>
      </c>
    </row>
    <row r="30" spans="1:3" x14ac:dyDescent="0.3">
      <c r="A30" t="s">
        <v>737</v>
      </c>
      <c r="B30" s="178">
        <v>650100</v>
      </c>
      <c r="C30" s="178" t="s">
        <v>711</v>
      </c>
    </row>
    <row r="31" spans="1:3" x14ac:dyDescent="0.3">
      <c r="A31" t="s">
        <v>738</v>
      </c>
      <c r="B31" s="178" t="s">
        <v>711</v>
      </c>
      <c r="C31" s="178">
        <v>679800</v>
      </c>
    </row>
    <row r="32" spans="1:3" x14ac:dyDescent="0.3">
      <c r="A32" t="s">
        <v>739</v>
      </c>
      <c r="B32" s="178" t="s">
        <v>711</v>
      </c>
      <c r="C32" s="178">
        <v>4000000</v>
      </c>
    </row>
    <row r="33" spans="1:3" x14ac:dyDescent="0.3">
      <c r="A33" t="s">
        <v>740</v>
      </c>
      <c r="B33" s="178" t="s">
        <v>711</v>
      </c>
      <c r="C33" s="178">
        <v>5440802</v>
      </c>
    </row>
    <row r="34" spans="1:3" x14ac:dyDescent="0.3">
      <c r="A34" t="s">
        <v>741</v>
      </c>
      <c r="B34" s="178" t="s">
        <v>711</v>
      </c>
      <c r="C34" s="178">
        <v>2500000</v>
      </c>
    </row>
    <row r="35" spans="1:3" x14ac:dyDescent="0.3">
      <c r="A35" t="s">
        <v>742</v>
      </c>
      <c r="B35" s="178" t="s">
        <v>711</v>
      </c>
      <c r="C35" s="178">
        <v>7249941</v>
      </c>
    </row>
    <row r="36" spans="1:3" x14ac:dyDescent="0.3">
      <c r="A36" t="s">
        <v>743</v>
      </c>
      <c r="B36" s="178" t="s">
        <v>711</v>
      </c>
      <c r="C36" s="178">
        <v>12500000</v>
      </c>
    </row>
    <row r="37" spans="1:3" x14ac:dyDescent="0.3">
      <c r="A37" t="s">
        <v>1181</v>
      </c>
      <c r="B37" s="178">
        <v>3106800</v>
      </c>
      <c r="C37" s="178" t="s">
        <v>711</v>
      </c>
    </row>
    <row r="38" spans="1:3" x14ac:dyDescent="0.3">
      <c r="A38" t="s">
        <v>744</v>
      </c>
      <c r="B38" s="178" t="s">
        <v>711</v>
      </c>
      <c r="C38" s="178">
        <v>81410519.620000005</v>
      </c>
    </row>
    <row r="39" spans="1:3" x14ac:dyDescent="0.3">
      <c r="A39" t="s">
        <v>745</v>
      </c>
      <c r="B39" s="178" t="s">
        <v>711</v>
      </c>
      <c r="C39" s="178">
        <v>150000000</v>
      </c>
    </row>
    <row r="40" spans="1:3" x14ac:dyDescent="0.3">
      <c r="A40" t="s">
        <v>746</v>
      </c>
      <c r="B40" s="178">
        <v>3355971</v>
      </c>
      <c r="C40" s="178" t="s">
        <v>711</v>
      </c>
    </row>
    <row r="41" spans="1:3" x14ac:dyDescent="0.3">
      <c r="A41" t="s">
        <v>747</v>
      </c>
      <c r="B41" s="178">
        <v>34662729.530000001</v>
      </c>
      <c r="C41" s="178" t="s">
        <v>711</v>
      </c>
    </row>
    <row r="42" spans="1:3" x14ac:dyDescent="0.3">
      <c r="A42" t="s">
        <v>748</v>
      </c>
      <c r="B42" s="178">
        <v>4762.67</v>
      </c>
      <c r="C42" s="178" t="s">
        <v>711</v>
      </c>
    </row>
    <row r="43" spans="1:3" x14ac:dyDescent="0.3">
      <c r="A43" t="s">
        <v>749</v>
      </c>
      <c r="B43" s="178">
        <v>632.47</v>
      </c>
      <c r="C43" s="178" t="s">
        <v>711</v>
      </c>
    </row>
    <row r="44" spans="1:3" x14ac:dyDescent="0.3">
      <c r="A44" t="s">
        <v>750</v>
      </c>
      <c r="B44" s="178" t="s">
        <v>711</v>
      </c>
      <c r="C44" s="178" t="s">
        <v>711</v>
      </c>
    </row>
    <row r="45" spans="1:3" x14ac:dyDescent="0.3">
      <c r="A45" t="s">
        <v>1271</v>
      </c>
      <c r="B45" s="178">
        <v>5500</v>
      </c>
      <c r="C45" s="178" t="s">
        <v>711</v>
      </c>
    </row>
    <row r="46" spans="1:3" x14ac:dyDescent="0.3">
      <c r="A46" t="s">
        <v>751</v>
      </c>
      <c r="B46" s="178">
        <v>53923.74</v>
      </c>
      <c r="C46" s="178" t="s">
        <v>711</v>
      </c>
    </row>
    <row r="47" spans="1:3" x14ac:dyDescent="0.3">
      <c r="A47" t="s">
        <v>752</v>
      </c>
      <c r="B47" s="178">
        <v>78511</v>
      </c>
      <c r="C47" s="178" t="s">
        <v>711</v>
      </c>
    </row>
    <row r="48" spans="1:3" x14ac:dyDescent="0.3">
      <c r="A48" t="s">
        <v>753</v>
      </c>
      <c r="B48" s="178">
        <v>10454.35</v>
      </c>
      <c r="C48" s="178" t="s">
        <v>711</v>
      </c>
    </row>
    <row r="49" spans="1:3" x14ac:dyDescent="0.3">
      <c r="A49" t="s">
        <v>754</v>
      </c>
      <c r="B49" s="178">
        <v>121982.18</v>
      </c>
      <c r="C49" s="178" t="s">
        <v>711</v>
      </c>
    </row>
    <row r="50" spans="1:3" x14ac:dyDescent="0.3">
      <c r="A50" t="s">
        <v>1182</v>
      </c>
      <c r="B50" s="178" t="s">
        <v>711</v>
      </c>
      <c r="C50" s="178">
        <v>2806416</v>
      </c>
    </row>
    <row r="51" spans="1:3" x14ac:dyDescent="0.3">
      <c r="A51" t="s">
        <v>1272</v>
      </c>
      <c r="B51" s="178" t="s">
        <v>711</v>
      </c>
      <c r="C51" s="178">
        <v>1798710</v>
      </c>
    </row>
    <row r="52" spans="1:3" x14ac:dyDescent="0.3">
      <c r="A52" t="s">
        <v>755</v>
      </c>
      <c r="B52" s="178">
        <v>24911</v>
      </c>
      <c r="C52" s="178" t="s">
        <v>711</v>
      </c>
    </row>
    <row r="53" spans="1:3" x14ac:dyDescent="0.3">
      <c r="A53" t="s">
        <v>756</v>
      </c>
      <c r="B53" s="178" t="s">
        <v>711</v>
      </c>
      <c r="C53" s="178">
        <v>200000</v>
      </c>
    </row>
    <row r="54" spans="1:3" x14ac:dyDescent="0.3">
      <c r="A54" t="s">
        <v>1306</v>
      </c>
      <c r="B54" s="178">
        <v>0</v>
      </c>
      <c r="C54" s="178" t="s">
        <v>711</v>
      </c>
    </row>
    <row r="55" spans="1:3" x14ac:dyDescent="0.3">
      <c r="A55" t="s">
        <v>1307</v>
      </c>
      <c r="B55" s="178">
        <v>0</v>
      </c>
      <c r="C55" s="178" t="s">
        <v>711</v>
      </c>
    </row>
    <row r="56" spans="1:3" x14ac:dyDescent="0.3">
      <c r="A56" t="s">
        <v>757</v>
      </c>
      <c r="B56" s="178">
        <f>385427+75755+75755+21602+21602</f>
        <v>580141</v>
      </c>
      <c r="C56" s="178" t="s">
        <v>711</v>
      </c>
    </row>
    <row r="57" spans="1:3" x14ac:dyDescent="0.3">
      <c r="A57" t="s">
        <v>758</v>
      </c>
      <c r="B57" s="178">
        <v>338020</v>
      </c>
      <c r="C57" s="178" t="s">
        <v>711</v>
      </c>
    </row>
    <row r="58" spans="1:3" x14ac:dyDescent="0.3">
      <c r="A58" t="s">
        <v>759</v>
      </c>
      <c r="B58" s="178">
        <v>3359223</v>
      </c>
      <c r="C58" s="178" t="s">
        <v>711</v>
      </c>
    </row>
    <row r="59" spans="1:3" x14ac:dyDescent="0.3">
      <c r="A59" t="s">
        <v>765</v>
      </c>
      <c r="B59" s="275">
        <v>6560286</v>
      </c>
      <c r="C59" s="178" t="s">
        <v>711</v>
      </c>
    </row>
    <row r="60" spans="1:3" x14ac:dyDescent="0.3">
      <c r="A60" t="s">
        <v>760</v>
      </c>
      <c r="B60" s="178">
        <v>40365.35</v>
      </c>
      <c r="C60" s="178" t="s">
        <v>711</v>
      </c>
    </row>
    <row r="61" spans="1:3" x14ac:dyDescent="0.3">
      <c r="A61" t="s">
        <v>767</v>
      </c>
      <c r="B61" s="178" t="s">
        <v>711</v>
      </c>
      <c r="C61" s="178">
        <v>345466</v>
      </c>
    </row>
    <row r="62" spans="1:3" x14ac:dyDescent="0.3">
      <c r="A62" t="s">
        <v>769</v>
      </c>
      <c r="B62" s="178" t="s">
        <v>711</v>
      </c>
      <c r="C62" s="178">
        <v>3042.23</v>
      </c>
    </row>
    <row r="63" spans="1:3" x14ac:dyDescent="0.3">
      <c r="A63" t="s">
        <v>770</v>
      </c>
      <c r="B63" s="178">
        <v>234200</v>
      </c>
      <c r="C63" s="178" t="s">
        <v>711</v>
      </c>
    </row>
    <row r="64" spans="1:3" x14ac:dyDescent="0.3">
      <c r="A64" t="s">
        <v>771</v>
      </c>
      <c r="B64" s="178" t="s">
        <v>711</v>
      </c>
      <c r="C64" s="178">
        <v>2403</v>
      </c>
    </row>
    <row r="65" spans="1:3" x14ac:dyDescent="0.3">
      <c r="A65" t="s">
        <v>761</v>
      </c>
      <c r="B65" s="178">
        <v>6339337</v>
      </c>
      <c r="C65" s="178" t="s">
        <v>711</v>
      </c>
    </row>
    <row r="66" spans="1:3" x14ac:dyDescent="0.3">
      <c r="A66" t="s">
        <v>768</v>
      </c>
      <c r="B66" s="178">
        <v>71375</v>
      </c>
      <c r="C66" s="178" t="s">
        <v>711</v>
      </c>
    </row>
    <row r="67" spans="1:3" x14ac:dyDescent="0.3">
      <c r="A67" t="s">
        <v>772</v>
      </c>
      <c r="B67" s="178" t="s">
        <v>711</v>
      </c>
      <c r="C67" s="178">
        <v>719464</v>
      </c>
    </row>
    <row r="68" spans="1:3" x14ac:dyDescent="0.3">
      <c r="A68" t="s">
        <v>773</v>
      </c>
      <c r="B68" s="178">
        <v>21810</v>
      </c>
      <c r="C68" s="178" t="s">
        <v>711</v>
      </c>
    </row>
    <row r="69" spans="1:3" x14ac:dyDescent="0.3">
      <c r="A69" t="s">
        <v>774</v>
      </c>
      <c r="B69" s="178" t="s">
        <v>711</v>
      </c>
      <c r="C69" s="178">
        <v>10000</v>
      </c>
    </row>
    <row r="70" spans="1:3" x14ac:dyDescent="0.3">
      <c r="A70" t="s">
        <v>775</v>
      </c>
      <c r="B70" s="178" t="s">
        <v>711</v>
      </c>
      <c r="C70" s="178">
        <v>25544</v>
      </c>
    </row>
    <row r="71" spans="1:3" x14ac:dyDescent="0.3">
      <c r="A71" t="s">
        <v>762</v>
      </c>
      <c r="B71" s="178">
        <v>5131101</v>
      </c>
      <c r="C71" s="178" t="s">
        <v>711</v>
      </c>
    </row>
    <row r="72" spans="1:3" x14ac:dyDescent="0.3">
      <c r="A72" t="s">
        <v>763</v>
      </c>
      <c r="B72" s="178">
        <v>3403484</v>
      </c>
      <c r="C72" s="178" t="s">
        <v>711</v>
      </c>
    </row>
    <row r="73" spans="1:3" x14ac:dyDescent="0.3">
      <c r="A73" t="s">
        <v>764</v>
      </c>
      <c r="B73" s="178">
        <v>257980</v>
      </c>
      <c r="C73" s="178" t="s">
        <v>711</v>
      </c>
    </row>
    <row r="74" spans="1:3" x14ac:dyDescent="0.3">
      <c r="A74" t="s">
        <v>766</v>
      </c>
      <c r="B74" s="178">
        <v>12380247</v>
      </c>
      <c r="C74" s="178" t="s">
        <v>711</v>
      </c>
    </row>
    <row r="75" spans="1:3" x14ac:dyDescent="0.3">
      <c r="A75" t="s">
        <v>1183</v>
      </c>
      <c r="B75" s="178">
        <v>1598732</v>
      </c>
      <c r="C75" s="178" t="s">
        <v>711</v>
      </c>
    </row>
    <row r="76" spans="1:3" x14ac:dyDescent="0.3">
      <c r="A76" t="s">
        <v>1184</v>
      </c>
      <c r="B76" s="178">
        <v>189999</v>
      </c>
      <c r="C76" s="178" t="s">
        <v>711</v>
      </c>
    </row>
    <row r="77" spans="1:3" x14ac:dyDescent="0.3">
      <c r="A77" t="s">
        <v>1185</v>
      </c>
      <c r="B77" s="178">
        <v>30000</v>
      </c>
      <c r="C77" s="178" t="s">
        <v>711</v>
      </c>
    </row>
    <row r="78" spans="1:3" x14ac:dyDescent="0.3">
      <c r="A78" t="s">
        <v>1186</v>
      </c>
      <c r="B78" s="178">
        <v>20000</v>
      </c>
      <c r="C78" s="178" t="s">
        <v>711</v>
      </c>
    </row>
    <row r="79" spans="1:3" x14ac:dyDescent="0.3">
      <c r="A79" t="s">
        <v>1187</v>
      </c>
      <c r="B79" s="178">
        <v>153440</v>
      </c>
      <c r="C79" s="178" t="s">
        <v>711</v>
      </c>
    </row>
    <row r="80" spans="1:3" x14ac:dyDescent="0.3">
      <c r="A80" t="s">
        <v>1188</v>
      </c>
      <c r="B80" s="178">
        <v>53220</v>
      </c>
      <c r="C80" s="178" t="s">
        <v>711</v>
      </c>
    </row>
    <row r="81" spans="1:3" x14ac:dyDescent="0.3">
      <c r="A81" t="s">
        <v>1189</v>
      </c>
      <c r="B81" s="178">
        <v>39003</v>
      </c>
      <c r="C81" s="178" t="s">
        <v>711</v>
      </c>
    </row>
    <row r="82" spans="1:3" x14ac:dyDescent="0.3">
      <c r="A82" t="s">
        <v>1190</v>
      </c>
      <c r="B82" s="178">
        <v>10000</v>
      </c>
      <c r="C82" s="178" t="s">
        <v>711</v>
      </c>
    </row>
    <row r="83" spans="1:3" x14ac:dyDescent="0.3">
      <c r="A83" t="s">
        <v>1191</v>
      </c>
      <c r="B83" s="178">
        <v>22410</v>
      </c>
      <c r="C83" s="178" t="s">
        <v>711</v>
      </c>
    </row>
    <row r="84" spans="1:3" x14ac:dyDescent="0.3">
      <c r="A84" t="s">
        <v>1192</v>
      </c>
      <c r="B84" s="178">
        <v>20000</v>
      </c>
      <c r="C84" s="178" t="s">
        <v>711</v>
      </c>
    </row>
    <row r="85" spans="1:3" x14ac:dyDescent="0.3">
      <c r="A85" t="s">
        <v>1193</v>
      </c>
      <c r="B85" s="178">
        <v>115000</v>
      </c>
      <c r="C85" s="178" t="s">
        <v>711</v>
      </c>
    </row>
    <row r="86" spans="1:3" x14ac:dyDescent="0.3">
      <c r="A86" t="s">
        <v>1194</v>
      </c>
      <c r="B86" s="178" t="s">
        <v>711</v>
      </c>
      <c r="C86" s="178">
        <v>7615</v>
      </c>
    </row>
    <row r="87" spans="1:3" x14ac:dyDescent="0.3">
      <c r="A87" t="s">
        <v>1195</v>
      </c>
      <c r="B87" s="178">
        <v>789352</v>
      </c>
      <c r="C87" s="178" t="s">
        <v>711</v>
      </c>
    </row>
    <row r="88" spans="1:3" x14ac:dyDescent="0.3">
      <c r="A88" t="s">
        <v>1196</v>
      </c>
      <c r="B88" s="178">
        <v>163923</v>
      </c>
      <c r="C88" s="178" t="s">
        <v>711</v>
      </c>
    </row>
    <row r="89" spans="1:3" x14ac:dyDescent="0.3">
      <c r="A89" t="s">
        <v>1197</v>
      </c>
      <c r="B89" s="178">
        <v>14869</v>
      </c>
      <c r="C89" s="178" t="s">
        <v>711</v>
      </c>
    </row>
    <row r="90" spans="1:3" x14ac:dyDescent="0.3">
      <c r="A90" t="s">
        <v>776</v>
      </c>
      <c r="B90" s="178" t="s">
        <v>711</v>
      </c>
      <c r="C90" s="178">
        <v>53032507.899999999</v>
      </c>
    </row>
    <row r="91" spans="1:3" x14ac:dyDescent="0.3">
      <c r="A91" t="s">
        <v>777</v>
      </c>
      <c r="B91" s="178" t="s">
        <v>711</v>
      </c>
      <c r="C91" s="178" t="s">
        <v>711</v>
      </c>
    </row>
    <row r="92" spans="1:3" x14ac:dyDescent="0.3">
      <c r="A92" t="s">
        <v>778</v>
      </c>
      <c r="B92" s="178" t="s">
        <v>711</v>
      </c>
      <c r="C92" s="178">
        <v>6348421</v>
      </c>
    </row>
    <row r="93" spans="1:3" x14ac:dyDescent="0.3">
      <c r="A93" t="s">
        <v>779</v>
      </c>
      <c r="B93" s="178" t="s">
        <v>711</v>
      </c>
      <c r="C93" s="178">
        <v>130000</v>
      </c>
    </row>
    <row r="94" spans="1:3" x14ac:dyDescent="0.3">
      <c r="A94" t="s">
        <v>780</v>
      </c>
      <c r="B94" s="178" t="s">
        <v>711</v>
      </c>
      <c r="C94" s="178">
        <v>48386.8</v>
      </c>
    </row>
    <row r="95" spans="1:3" x14ac:dyDescent="0.3">
      <c r="A95" t="s">
        <v>781</v>
      </c>
      <c r="B95" s="178" t="s">
        <v>711</v>
      </c>
      <c r="C95" s="178">
        <v>864516.2</v>
      </c>
    </row>
    <row r="96" spans="1:3" x14ac:dyDescent="0.3">
      <c r="A96" t="s">
        <v>782</v>
      </c>
      <c r="B96" s="178" t="s">
        <v>711</v>
      </c>
      <c r="C96" s="178">
        <v>138734.29999999999</v>
      </c>
    </row>
    <row r="97" spans="1:3" x14ac:dyDescent="0.3">
      <c r="A97" t="s">
        <v>783</v>
      </c>
      <c r="B97" s="178" t="s">
        <v>711</v>
      </c>
      <c r="C97" s="178" t="s">
        <v>711</v>
      </c>
    </row>
    <row r="98" spans="1:3" x14ac:dyDescent="0.3">
      <c r="A98" t="s">
        <v>784</v>
      </c>
      <c r="B98" s="178" t="s">
        <v>711</v>
      </c>
      <c r="C98" s="178">
        <v>64491</v>
      </c>
    </row>
    <row r="99" spans="1:3" x14ac:dyDescent="0.3">
      <c r="A99" t="s">
        <v>785</v>
      </c>
      <c r="B99" s="178" t="s">
        <v>711</v>
      </c>
      <c r="C99" s="178">
        <v>11229.07</v>
      </c>
    </row>
    <row r="100" spans="1:3" x14ac:dyDescent="0.3">
      <c r="A100" t="s">
        <v>786</v>
      </c>
      <c r="B100" s="178" t="s">
        <v>711</v>
      </c>
      <c r="C100" s="178">
        <v>620680</v>
      </c>
    </row>
    <row r="101" spans="1:3" x14ac:dyDescent="0.3">
      <c r="A101" t="s">
        <v>1198</v>
      </c>
      <c r="B101" s="178" t="s">
        <v>711</v>
      </c>
      <c r="C101" s="178">
        <v>2046508.23</v>
      </c>
    </row>
    <row r="102" spans="1:3" x14ac:dyDescent="0.3">
      <c r="A102" t="s">
        <v>787</v>
      </c>
      <c r="B102" s="178" t="s">
        <v>711</v>
      </c>
      <c r="C102" s="178">
        <v>926262.85</v>
      </c>
    </row>
    <row r="103" spans="1:3" x14ac:dyDescent="0.3">
      <c r="A103" t="s">
        <v>788</v>
      </c>
      <c r="B103" s="178" t="s">
        <v>711</v>
      </c>
      <c r="C103" s="178">
        <v>2338556</v>
      </c>
    </row>
    <row r="104" spans="1:3" x14ac:dyDescent="0.3">
      <c r="A104" t="s">
        <v>789</v>
      </c>
      <c r="B104" s="178" t="s">
        <v>711</v>
      </c>
      <c r="C104" s="178" t="s">
        <v>711</v>
      </c>
    </row>
    <row r="105" spans="1:3" x14ac:dyDescent="0.3">
      <c r="A105" t="s">
        <v>790</v>
      </c>
      <c r="B105" s="178" t="s">
        <v>711</v>
      </c>
      <c r="C105" s="178">
        <v>840000</v>
      </c>
    </row>
    <row r="106" spans="1:3" x14ac:dyDescent="0.3">
      <c r="A106" t="s">
        <v>791</v>
      </c>
      <c r="B106" s="178" t="s">
        <v>711</v>
      </c>
      <c r="C106" s="178" t="s">
        <v>711</v>
      </c>
    </row>
    <row r="107" spans="1:3" x14ac:dyDescent="0.3">
      <c r="A107" t="s">
        <v>792</v>
      </c>
      <c r="B107" s="178" t="s">
        <v>711</v>
      </c>
      <c r="C107" s="178">
        <v>3466468</v>
      </c>
    </row>
    <row r="108" spans="1:3" x14ac:dyDescent="0.3">
      <c r="A108" t="s">
        <v>793</v>
      </c>
      <c r="B108" s="178" t="s">
        <v>711</v>
      </c>
      <c r="C108" s="178">
        <v>800</v>
      </c>
    </row>
    <row r="109" spans="1:3" x14ac:dyDescent="0.3">
      <c r="A109" t="s">
        <v>794</v>
      </c>
      <c r="B109" s="178" t="s">
        <v>711</v>
      </c>
      <c r="C109" s="178">
        <v>4269003</v>
      </c>
    </row>
    <row r="110" spans="1:3" x14ac:dyDescent="0.3">
      <c r="A110" t="s">
        <v>826</v>
      </c>
      <c r="B110" s="178" t="s">
        <v>711</v>
      </c>
      <c r="C110" s="178">
        <v>286733</v>
      </c>
    </row>
    <row r="111" spans="1:3" x14ac:dyDescent="0.3">
      <c r="A111" t="s">
        <v>795</v>
      </c>
      <c r="B111" s="178" t="s">
        <v>711</v>
      </c>
      <c r="C111" s="178">
        <v>2953770</v>
      </c>
    </row>
    <row r="112" spans="1:3" x14ac:dyDescent="0.3">
      <c r="A112" t="s">
        <v>796</v>
      </c>
      <c r="B112" s="178" t="s">
        <v>711</v>
      </c>
      <c r="C112" s="178">
        <v>5128130</v>
      </c>
    </row>
    <row r="113" spans="1:3" x14ac:dyDescent="0.3">
      <c r="A113" t="s">
        <v>797</v>
      </c>
      <c r="B113" s="178" t="s">
        <v>711</v>
      </c>
      <c r="C113" s="178">
        <v>525601</v>
      </c>
    </row>
    <row r="114" spans="1:3" x14ac:dyDescent="0.3">
      <c r="A114" t="s">
        <v>798</v>
      </c>
      <c r="B114" s="178" t="s">
        <v>711</v>
      </c>
      <c r="C114" s="178">
        <v>49265.4</v>
      </c>
    </row>
    <row r="115" spans="1:3" x14ac:dyDescent="0.3">
      <c r="A115" t="s">
        <v>1308</v>
      </c>
      <c r="B115" s="178" t="s">
        <v>711</v>
      </c>
      <c r="C115" s="178">
        <v>180000</v>
      </c>
    </row>
    <row r="116" spans="1:3" x14ac:dyDescent="0.3">
      <c r="A116" t="s">
        <v>799</v>
      </c>
      <c r="B116" s="178" t="s">
        <v>711</v>
      </c>
      <c r="C116" s="178">
        <v>298724</v>
      </c>
    </row>
    <row r="117" spans="1:3" x14ac:dyDescent="0.3">
      <c r="A117" t="s">
        <v>800</v>
      </c>
      <c r="B117" s="178" t="s">
        <v>711</v>
      </c>
      <c r="C117" s="178">
        <v>3600000</v>
      </c>
    </row>
    <row r="118" spans="1:3" x14ac:dyDescent="0.3">
      <c r="A118" t="s">
        <v>801</v>
      </c>
      <c r="B118" s="178" t="s">
        <v>711</v>
      </c>
      <c r="C118" s="178">
        <v>14827628</v>
      </c>
    </row>
    <row r="119" spans="1:3" x14ac:dyDescent="0.3">
      <c r="A119" t="s">
        <v>802</v>
      </c>
      <c r="B119" s="178" t="s">
        <v>711</v>
      </c>
      <c r="C119" s="178">
        <v>3090202.05</v>
      </c>
    </row>
    <row r="120" spans="1:3" x14ac:dyDescent="0.3">
      <c r="A120" t="s">
        <v>803</v>
      </c>
      <c r="B120" s="178" t="s">
        <v>711</v>
      </c>
      <c r="C120" s="178">
        <v>50000</v>
      </c>
    </row>
    <row r="121" spans="1:3" x14ac:dyDescent="0.3">
      <c r="A121" t="s">
        <v>804</v>
      </c>
      <c r="B121" s="178" t="s">
        <v>711</v>
      </c>
      <c r="C121" s="178">
        <v>20110</v>
      </c>
    </row>
    <row r="122" spans="1:3" x14ac:dyDescent="0.3">
      <c r="A122" t="s">
        <v>805</v>
      </c>
      <c r="B122" s="178" t="s">
        <v>711</v>
      </c>
      <c r="C122" s="178">
        <v>59226</v>
      </c>
    </row>
    <row r="123" spans="1:3" x14ac:dyDescent="0.3">
      <c r="A123" t="s">
        <v>806</v>
      </c>
      <c r="B123" s="178" t="s">
        <v>711</v>
      </c>
      <c r="C123" s="178">
        <v>25768</v>
      </c>
    </row>
    <row r="124" spans="1:3" x14ac:dyDescent="0.3">
      <c r="A124" t="s">
        <v>1199</v>
      </c>
      <c r="B124" s="178" t="s">
        <v>711</v>
      </c>
      <c r="C124" s="178">
        <v>4290</v>
      </c>
    </row>
    <row r="125" spans="1:3" x14ac:dyDescent="0.3">
      <c r="A125" t="s">
        <v>1200</v>
      </c>
      <c r="B125" s="178" t="s">
        <v>711</v>
      </c>
      <c r="C125" s="178">
        <v>37597</v>
      </c>
    </row>
    <row r="126" spans="1:3" x14ac:dyDescent="0.3">
      <c r="A126" t="s">
        <v>807</v>
      </c>
      <c r="B126" s="178" t="s">
        <v>711</v>
      </c>
      <c r="C126" s="178">
        <v>30467</v>
      </c>
    </row>
    <row r="127" spans="1:3" x14ac:dyDescent="0.3">
      <c r="A127" t="s">
        <v>808</v>
      </c>
      <c r="B127" s="178" t="s">
        <v>711</v>
      </c>
      <c r="C127" s="178">
        <v>70931</v>
      </c>
    </row>
    <row r="128" spans="1:3" x14ac:dyDescent="0.3">
      <c r="A128" t="s">
        <v>809</v>
      </c>
      <c r="B128" s="178" t="s">
        <v>711</v>
      </c>
      <c r="C128" s="178">
        <v>90822</v>
      </c>
    </row>
    <row r="129" spans="1:3" x14ac:dyDescent="0.3">
      <c r="A129" t="s">
        <v>810</v>
      </c>
      <c r="B129" s="178" t="s">
        <v>711</v>
      </c>
      <c r="C129" s="178">
        <v>60996</v>
      </c>
    </row>
    <row r="130" spans="1:3" x14ac:dyDescent="0.3">
      <c r="A130" t="s">
        <v>811</v>
      </c>
      <c r="B130" s="178" t="s">
        <v>711</v>
      </c>
      <c r="C130" s="178">
        <v>18348</v>
      </c>
    </row>
    <row r="131" spans="1:3" x14ac:dyDescent="0.3">
      <c r="A131" t="s">
        <v>812</v>
      </c>
      <c r="B131" s="178" t="s">
        <v>711</v>
      </c>
      <c r="C131" s="178">
        <v>4657</v>
      </c>
    </row>
    <row r="132" spans="1:3" x14ac:dyDescent="0.3">
      <c r="A132" t="s">
        <v>813</v>
      </c>
      <c r="B132" s="178" t="s">
        <v>711</v>
      </c>
      <c r="C132" s="178">
        <v>49470</v>
      </c>
    </row>
    <row r="133" spans="1:3" x14ac:dyDescent="0.3">
      <c r="A133" t="s">
        <v>814</v>
      </c>
      <c r="B133" s="178" t="s">
        <v>711</v>
      </c>
      <c r="C133" s="178">
        <v>110892</v>
      </c>
    </row>
    <row r="134" spans="1:3" x14ac:dyDescent="0.3">
      <c r="A134" t="s">
        <v>815</v>
      </c>
      <c r="B134" s="178" t="s">
        <v>711</v>
      </c>
      <c r="C134" s="178">
        <v>47394</v>
      </c>
    </row>
    <row r="135" spans="1:3" x14ac:dyDescent="0.3">
      <c r="A135" t="s">
        <v>816</v>
      </c>
      <c r="B135" s="178" t="s">
        <v>711</v>
      </c>
      <c r="C135" s="178">
        <v>8105</v>
      </c>
    </row>
    <row r="136" spans="1:3" x14ac:dyDescent="0.3">
      <c r="A136" t="s">
        <v>817</v>
      </c>
      <c r="B136" s="178" t="s">
        <v>711</v>
      </c>
      <c r="C136" s="178">
        <v>13584</v>
      </c>
    </row>
    <row r="137" spans="1:3" x14ac:dyDescent="0.3">
      <c r="A137" t="s">
        <v>818</v>
      </c>
      <c r="B137" s="178">
        <v>2154</v>
      </c>
      <c r="C137" s="178" t="s">
        <v>711</v>
      </c>
    </row>
    <row r="138" spans="1:3" x14ac:dyDescent="0.3">
      <c r="A138" t="s">
        <v>819</v>
      </c>
      <c r="B138" s="178" t="s">
        <v>711</v>
      </c>
      <c r="C138" s="178">
        <v>1446615</v>
      </c>
    </row>
    <row r="139" spans="1:3" x14ac:dyDescent="0.3">
      <c r="A139" t="s">
        <v>820</v>
      </c>
      <c r="B139" s="178" t="s">
        <v>711</v>
      </c>
      <c r="C139" s="178">
        <v>71000</v>
      </c>
    </row>
    <row r="140" spans="1:3" x14ac:dyDescent="0.3">
      <c r="A140" t="s">
        <v>821</v>
      </c>
      <c r="B140" s="178" t="s">
        <v>711</v>
      </c>
      <c r="C140" s="178">
        <v>54023</v>
      </c>
    </row>
    <row r="141" spans="1:3" x14ac:dyDescent="0.3">
      <c r="A141" t="s">
        <v>822</v>
      </c>
      <c r="B141" s="178" t="s">
        <v>711</v>
      </c>
      <c r="C141" s="178">
        <v>61433</v>
      </c>
    </row>
    <row r="142" spans="1:3" x14ac:dyDescent="0.3">
      <c r="A142" t="s">
        <v>1201</v>
      </c>
      <c r="B142" s="178" t="s">
        <v>711</v>
      </c>
      <c r="C142" s="178">
        <v>13375</v>
      </c>
    </row>
    <row r="143" spans="1:3" x14ac:dyDescent="0.3">
      <c r="A143" t="s">
        <v>823</v>
      </c>
      <c r="B143" s="178" t="s">
        <v>711</v>
      </c>
      <c r="C143" s="178">
        <v>67986</v>
      </c>
    </row>
    <row r="144" spans="1:3" x14ac:dyDescent="0.3">
      <c r="A144" t="s">
        <v>1289</v>
      </c>
      <c r="B144" s="178" t="s">
        <v>711</v>
      </c>
      <c r="C144" s="178">
        <v>19049</v>
      </c>
    </row>
    <row r="145" spans="1:3" x14ac:dyDescent="0.3">
      <c r="A145" t="s">
        <v>824</v>
      </c>
      <c r="B145" s="178" t="s">
        <v>711</v>
      </c>
      <c r="C145" s="178">
        <v>97040</v>
      </c>
    </row>
    <row r="146" spans="1:3" x14ac:dyDescent="0.3">
      <c r="A146" t="s">
        <v>819</v>
      </c>
      <c r="B146" s="178" t="s">
        <v>711</v>
      </c>
      <c r="C146" s="178">
        <v>524037.05</v>
      </c>
    </row>
    <row r="147" spans="1:3" x14ac:dyDescent="0.3">
      <c r="A147" t="s">
        <v>825</v>
      </c>
      <c r="B147" s="178" t="s">
        <v>711</v>
      </c>
      <c r="C147" s="178">
        <v>35141</v>
      </c>
    </row>
    <row r="148" spans="1:3" x14ac:dyDescent="0.3">
      <c r="A148" t="s">
        <v>1202</v>
      </c>
      <c r="B148" s="178">
        <v>6727535.9100000001</v>
      </c>
      <c r="C148" s="178" t="s">
        <v>711</v>
      </c>
    </row>
    <row r="149" spans="1:3" x14ac:dyDescent="0.3">
      <c r="A149" t="s">
        <v>827</v>
      </c>
      <c r="B149" s="178">
        <v>217448</v>
      </c>
      <c r="C149" s="178" t="s">
        <v>711</v>
      </c>
    </row>
    <row r="150" spans="1:3" x14ac:dyDescent="0.3">
      <c r="A150" t="s">
        <v>828</v>
      </c>
      <c r="B150" s="178" t="s">
        <v>711</v>
      </c>
      <c r="C150" s="178">
        <v>544</v>
      </c>
    </row>
    <row r="151" spans="1:3" x14ac:dyDescent="0.3">
      <c r="A151" t="s">
        <v>829</v>
      </c>
      <c r="B151" s="178" t="s">
        <v>711</v>
      </c>
      <c r="C151" s="178">
        <v>1006650.56</v>
      </c>
    </row>
    <row r="152" spans="1:3" x14ac:dyDescent="0.3">
      <c r="A152" t="s">
        <v>830</v>
      </c>
      <c r="B152" s="178" t="s">
        <v>711</v>
      </c>
      <c r="C152" s="178">
        <v>7906</v>
      </c>
    </row>
    <row r="153" spans="1:3" x14ac:dyDescent="0.3">
      <c r="A153" t="s">
        <v>831</v>
      </c>
      <c r="B153" s="178">
        <v>15452.83</v>
      </c>
      <c r="C153" s="178" t="s">
        <v>711</v>
      </c>
    </row>
    <row r="154" spans="1:3" x14ac:dyDescent="0.3">
      <c r="A154" t="s">
        <v>832</v>
      </c>
      <c r="B154" s="178" t="s">
        <v>711</v>
      </c>
      <c r="C154" s="178">
        <v>1220.8</v>
      </c>
    </row>
    <row r="155" spans="1:3" x14ac:dyDescent="0.3">
      <c r="A155" t="s">
        <v>833</v>
      </c>
      <c r="B155" s="178">
        <v>1274.1199999999999</v>
      </c>
      <c r="C155" s="178" t="s">
        <v>711</v>
      </c>
    </row>
    <row r="156" spans="1:3" x14ac:dyDescent="0.3">
      <c r="A156" t="s">
        <v>834</v>
      </c>
      <c r="B156" s="178">
        <v>2904.2</v>
      </c>
      <c r="C156" s="178" t="s">
        <v>711</v>
      </c>
    </row>
    <row r="157" spans="1:3" x14ac:dyDescent="0.3">
      <c r="A157" t="s">
        <v>835</v>
      </c>
      <c r="B157" s="178">
        <v>18899.2</v>
      </c>
      <c r="C157" s="178" t="s">
        <v>711</v>
      </c>
    </row>
    <row r="158" spans="1:3" x14ac:dyDescent="0.3">
      <c r="A158" t="s">
        <v>836</v>
      </c>
      <c r="B158" s="178" t="s">
        <v>711</v>
      </c>
      <c r="C158" s="178">
        <v>12333.84</v>
      </c>
    </row>
    <row r="159" spans="1:3" x14ac:dyDescent="0.3">
      <c r="A159" t="s">
        <v>837</v>
      </c>
      <c r="B159" s="178" t="s">
        <v>711</v>
      </c>
      <c r="C159" s="178">
        <v>457672</v>
      </c>
    </row>
    <row r="160" spans="1:3" x14ac:dyDescent="0.3">
      <c r="A160" t="s">
        <v>838</v>
      </c>
      <c r="B160" s="178" t="s">
        <v>711</v>
      </c>
      <c r="C160" s="178">
        <v>515</v>
      </c>
    </row>
    <row r="161" spans="1:3" x14ac:dyDescent="0.3">
      <c r="A161" t="s">
        <v>839</v>
      </c>
      <c r="B161" s="178" t="s">
        <v>711</v>
      </c>
      <c r="C161" s="178">
        <v>19041</v>
      </c>
    </row>
    <row r="162" spans="1:3" x14ac:dyDescent="0.3">
      <c r="A162" t="s">
        <v>840</v>
      </c>
      <c r="B162" s="178" t="s">
        <v>711</v>
      </c>
      <c r="C162" s="178">
        <v>6311</v>
      </c>
    </row>
    <row r="163" spans="1:3" x14ac:dyDescent="0.3">
      <c r="A163" t="s">
        <v>841</v>
      </c>
      <c r="B163" s="178" t="s">
        <v>711</v>
      </c>
      <c r="C163" s="178">
        <v>3240</v>
      </c>
    </row>
    <row r="164" spans="1:3" x14ac:dyDescent="0.3">
      <c r="A164" t="s">
        <v>842</v>
      </c>
      <c r="B164" s="178" t="s">
        <v>711</v>
      </c>
      <c r="C164" s="178">
        <v>1792</v>
      </c>
    </row>
    <row r="165" spans="1:3" x14ac:dyDescent="0.3">
      <c r="A165" t="s">
        <v>843</v>
      </c>
      <c r="B165" s="178">
        <v>88</v>
      </c>
      <c r="C165" s="178" t="s">
        <v>711</v>
      </c>
    </row>
    <row r="166" spans="1:3" x14ac:dyDescent="0.3">
      <c r="A166" t="s">
        <v>844</v>
      </c>
      <c r="B166" s="178" t="s">
        <v>711</v>
      </c>
      <c r="C166" s="178">
        <v>273.83999999999997</v>
      </c>
    </row>
    <row r="167" spans="1:3" x14ac:dyDescent="0.3">
      <c r="A167" t="s">
        <v>845</v>
      </c>
      <c r="B167" s="178">
        <v>361</v>
      </c>
      <c r="C167" s="178" t="s">
        <v>711</v>
      </c>
    </row>
    <row r="168" spans="1:3" x14ac:dyDescent="0.3">
      <c r="A168" t="s">
        <v>846</v>
      </c>
      <c r="B168" s="178">
        <v>6824</v>
      </c>
      <c r="C168" s="178" t="s">
        <v>711</v>
      </c>
    </row>
    <row r="169" spans="1:3" x14ac:dyDescent="0.3">
      <c r="A169" t="s">
        <v>847</v>
      </c>
      <c r="B169" s="178" t="s">
        <v>711</v>
      </c>
      <c r="C169" s="178">
        <v>126</v>
      </c>
    </row>
    <row r="170" spans="1:3" x14ac:dyDescent="0.3">
      <c r="A170" t="s">
        <v>848</v>
      </c>
      <c r="B170" s="178">
        <v>5612</v>
      </c>
      <c r="C170" s="178" t="s">
        <v>711</v>
      </c>
    </row>
    <row r="171" spans="1:3" x14ac:dyDescent="0.3">
      <c r="A171" t="s">
        <v>849</v>
      </c>
      <c r="B171" s="178">
        <v>125</v>
      </c>
      <c r="C171" s="178" t="s">
        <v>711</v>
      </c>
    </row>
    <row r="172" spans="1:3" x14ac:dyDescent="0.3">
      <c r="A172" t="s">
        <v>850</v>
      </c>
      <c r="B172" s="178" t="s">
        <v>711</v>
      </c>
      <c r="C172" s="178">
        <v>177</v>
      </c>
    </row>
    <row r="173" spans="1:3" x14ac:dyDescent="0.3">
      <c r="A173" t="s">
        <v>851</v>
      </c>
      <c r="B173" s="178" t="s">
        <v>711</v>
      </c>
      <c r="C173" s="178">
        <v>425</v>
      </c>
    </row>
    <row r="174" spans="1:3" x14ac:dyDescent="0.3">
      <c r="A174" t="s">
        <v>852</v>
      </c>
      <c r="B174" s="178" t="s">
        <v>711</v>
      </c>
      <c r="C174" s="178">
        <v>7378</v>
      </c>
    </row>
    <row r="175" spans="1:3" x14ac:dyDescent="0.3">
      <c r="A175" t="s">
        <v>853</v>
      </c>
      <c r="B175" s="178" t="s">
        <v>711</v>
      </c>
      <c r="C175" s="178">
        <v>2838</v>
      </c>
    </row>
    <row r="176" spans="1:3" x14ac:dyDescent="0.3">
      <c r="A176" t="s">
        <v>854</v>
      </c>
      <c r="B176" s="178" t="s">
        <v>711</v>
      </c>
      <c r="C176" s="178">
        <v>1453</v>
      </c>
    </row>
    <row r="177" spans="1:3" x14ac:dyDescent="0.3">
      <c r="A177" t="s">
        <v>855</v>
      </c>
      <c r="B177" s="178" t="s">
        <v>711</v>
      </c>
      <c r="C177" s="178">
        <v>599</v>
      </c>
    </row>
    <row r="178" spans="1:3" x14ac:dyDescent="0.3">
      <c r="A178" t="s">
        <v>856</v>
      </c>
      <c r="B178" s="178" t="s">
        <v>711</v>
      </c>
      <c r="C178" s="178">
        <v>2277</v>
      </c>
    </row>
    <row r="179" spans="1:3" x14ac:dyDescent="0.3">
      <c r="A179" t="s">
        <v>857</v>
      </c>
      <c r="B179" s="178" t="s">
        <v>711</v>
      </c>
      <c r="C179" s="178">
        <v>1</v>
      </c>
    </row>
    <row r="180" spans="1:3" x14ac:dyDescent="0.3">
      <c r="A180" t="s">
        <v>858</v>
      </c>
      <c r="B180" s="178">
        <v>7744</v>
      </c>
      <c r="C180" s="178" t="s">
        <v>711</v>
      </c>
    </row>
    <row r="181" spans="1:3" x14ac:dyDescent="0.3">
      <c r="A181" t="s">
        <v>859</v>
      </c>
      <c r="B181" s="178">
        <v>14349200</v>
      </c>
      <c r="C181" s="178" t="s">
        <v>711</v>
      </c>
    </row>
    <row r="182" spans="1:3" x14ac:dyDescent="0.3">
      <c r="A182" t="s">
        <v>860</v>
      </c>
      <c r="B182" s="178" t="s">
        <v>711</v>
      </c>
      <c r="C182" s="178">
        <v>3722</v>
      </c>
    </row>
    <row r="183" spans="1:3" x14ac:dyDescent="0.3">
      <c r="A183" t="s">
        <v>861</v>
      </c>
      <c r="B183" s="178" t="s">
        <v>711</v>
      </c>
      <c r="C183" s="178">
        <v>6204.04</v>
      </c>
    </row>
    <row r="184" spans="1:3" x14ac:dyDescent="0.3">
      <c r="A184" t="s">
        <v>862</v>
      </c>
      <c r="B184" s="178" t="s">
        <v>711</v>
      </c>
      <c r="C184" s="178">
        <v>1038.74</v>
      </c>
    </row>
    <row r="185" spans="1:3" x14ac:dyDescent="0.3">
      <c r="A185" t="s">
        <v>863</v>
      </c>
      <c r="B185" s="178" t="s">
        <v>711</v>
      </c>
      <c r="C185" s="178">
        <v>863</v>
      </c>
    </row>
    <row r="186" spans="1:3" x14ac:dyDescent="0.3">
      <c r="A186" t="s">
        <v>864</v>
      </c>
      <c r="B186" s="178">
        <v>13273</v>
      </c>
      <c r="C186" s="178" t="s">
        <v>711</v>
      </c>
    </row>
    <row r="187" spans="1:3" x14ac:dyDescent="0.3">
      <c r="A187" t="s">
        <v>865</v>
      </c>
      <c r="B187" s="178" t="s">
        <v>711</v>
      </c>
      <c r="C187" s="178">
        <v>9.89</v>
      </c>
    </row>
    <row r="188" spans="1:3" x14ac:dyDescent="0.3">
      <c r="A188" t="s">
        <v>1203</v>
      </c>
      <c r="B188" s="178">
        <v>0.48</v>
      </c>
      <c r="C188" s="178" t="s">
        <v>711</v>
      </c>
    </row>
    <row r="189" spans="1:3" x14ac:dyDescent="0.3">
      <c r="A189" t="s">
        <v>866</v>
      </c>
      <c r="B189" s="178" t="s">
        <v>711</v>
      </c>
      <c r="C189" s="178">
        <v>9152</v>
      </c>
    </row>
    <row r="190" spans="1:3" x14ac:dyDescent="0.3">
      <c r="A190" t="s">
        <v>867</v>
      </c>
      <c r="B190" s="178" t="s">
        <v>711</v>
      </c>
      <c r="C190" s="178">
        <v>2</v>
      </c>
    </row>
    <row r="191" spans="1:3" x14ac:dyDescent="0.3">
      <c r="A191" t="s">
        <v>868</v>
      </c>
      <c r="B191" s="178">
        <v>3302</v>
      </c>
      <c r="C191" s="178" t="s">
        <v>711</v>
      </c>
    </row>
    <row r="192" spans="1:3" x14ac:dyDescent="0.3">
      <c r="A192" t="s">
        <v>869</v>
      </c>
      <c r="B192" s="178" t="s">
        <v>711</v>
      </c>
      <c r="C192" s="178">
        <v>5077.25</v>
      </c>
    </row>
    <row r="193" spans="1:3" x14ac:dyDescent="0.3">
      <c r="A193" t="s">
        <v>870</v>
      </c>
      <c r="B193" s="178" t="s">
        <v>711</v>
      </c>
      <c r="C193" s="178">
        <v>1081</v>
      </c>
    </row>
    <row r="194" spans="1:3" x14ac:dyDescent="0.3">
      <c r="A194" t="s">
        <v>871</v>
      </c>
      <c r="B194" s="178" t="s">
        <v>711</v>
      </c>
      <c r="C194" s="178">
        <v>3745.32</v>
      </c>
    </row>
    <row r="195" spans="1:3" x14ac:dyDescent="0.3">
      <c r="A195" t="s">
        <v>1204</v>
      </c>
      <c r="B195" s="178">
        <v>38580</v>
      </c>
      <c r="C195" s="178" t="s">
        <v>711</v>
      </c>
    </row>
    <row r="196" spans="1:3" x14ac:dyDescent="0.3">
      <c r="A196" t="s">
        <v>1205</v>
      </c>
      <c r="B196" s="178">
        <v>148832</v>
      </c>
      <c r="C196" s="178" t="s">
        <v>711</v>
      </c>
    </row>
    <row r="197" spans="1:3" x14ac:dyDescent="0.3">
      <c r="A197" t="s">
        <v>872</v>
      </c>
      <c r="B197" s="178" t="s">
        <v>711</v>
      </c>
      <c r="C197" s="178">
        <v>1170.56</v>
      </c>
    </row>
    <row r="198" spans="1:3" x14ac:dyDescent="0.3">
      <c r="A198" t="s">
        <v>873</v>
      </c>
      <c r="B198" s="178" t="s">
        <v>711</v>
      </c>
      <c r="C198" s="178">
        <v>6210</v>
      </c>
    </row>
    <row r="199" spans="1:3" x14ac:dyDescent="0.3">
      <c r="A199" t="s">
        <v>1273</v>
      </c>
      <c r="B199" s="178">
        <v>148113</v>
      </c>
      <c r="C199" s="178" t="s">
        <v>711</v>
      </c>
    </row>
    <row r="200" spans="1:3" x14ac:dyDescent="0.3">
      <c r="A200" t="s">
        <v>874</v>
      </c>
      <c r="B200" s="178" t="s">
        <v>711</v>
      </c>
      <c r="C200" s="178">
        <v>147842</v>
      </c>
    </row>
    <row r="201" spans="1:3" x14ac:dyDescent="0.3">
      <c r="A201" t="s">
        <v>875</v>
      </c>
      <c r="B201" s="178" t="s">
        <v>711</v>
      </c>
      <c r="C201" s="178">
        <v>2400</v>
      </c>
    </row>
    <row r="202" spans="1:3" x14ac:dyDescent="0.3">
      <c r="A202" t="s">
        <v>876</v>
      </c>
      <c r="B202" s="178">
        <v>2564.1999999999998</v>
      </c>
      <c r="C202" s="178" t="s">
        <v>711</v>
      </c>
    </row>
    <row r="203" spans="1:3" x14ac:dyDescent="0.3">
      <c r="A203" t="s">
        <v>877</v>
      </c>
      <c r="B203" s="178" t="s">
        <v>711</v>
      </c>
      <c r="C203" s="178">
        <v>2525316.2400000002</v>
      </c>
    </row>
    <row r="204" spans="1:3" x14ac:dyDescent="0.3">
      <c r="A204" t="s">
        <v>878</v>
      </c>
      <c r="B204" s="178" t="s">
        <v>711</v>
      </c>
      <c r="C204" s="178">
        <v>7632</v>
      </c>
    </row>
    <row r="205" spans="1:3" x14ac:dyDescent="0.3">
      <c r="A205" t="s">
        <v>879</v>
      </c>
      <c r="B205" s="178" t="s">
        <v>711</v>
      </c>
      <c r="C205" s="178">
        <v>2405.92</v>
      </c>
    </row>
    <row r="206" spans="1:3" x14ac:dyDescent="0.3">
      <c r="A206" t="s">
        <v>880</v>
      </c>
      <c r="B206" s="178">
        <v>4</v>
      </c>
      <c r="C206" s="178" t="s">
        <v>711</v>
      </c>
    </row>
    <row r="207" spans="1:3" x14ac:dyDescent="0.3">
      <c r="A207" t="s">
        <v>881</v>
      </c>
      <c r="B207" s="178" t="s">
        <v>711</v>
      </c>
      <c r="C207" s="178">
        <v>689031</v>
      </c>
    </row>
    <row r="208" spans="1:3" x14ac:dyDescent="0.3">
      <c r="A208" t="s">
        <v>882</v>
      </c>
      <c r="B208" s="178" t="s">
        <v>711</v>
      </c>
      <c r="C208" s="178">
        <v>9197</v>
      </c>
    </row>
    <row r="209" spans="1:3" x14ac:dyDescent="0.3">
      <c r="A209" t="s">
        <v>1206</v>
      </c>
      <c r="B209" s="178" t="s">
        <v>711</v>
      </c>
      <c r="C209" s="178">
        <v>1</v>
      </c>
    </row>
    <row r="210" spans="1:3" x14ac:dyDescent="0.3">
      <c r="A210" t="s">
        <v>1274</v>
      </c>
      <c r="B210" s="178">
        <v>11883</v>
      </c>
      <c r="C210" s="178" t="s">
        <v>711</v>
      </c>
    </row>
    <row r="211" spans="1:3" x14ac:dyDescent="0.3">
      <c r="A211" t="s">
        <v>1207</v>
      </c>
      <c r="B211" s="178">
        <v>8858</v>
      </c>
      <c r="C211" s="178" t="s">
        <v>711</v>
      </c>
    </row>
    <row r="212" spans="1:3" x14ac:dyDescent="0.3">
      <c r="A212" t="s">
        <v>883</v>
      </c>
      <c r="B212" s="178">
        <v>4075</v>
      </c>
      <c r="C212" s="178" t="s">
        <v>711</v>
      </c>
    </row>
    <row r="213" spans="1:3" x14ac:dyDescent="0.3">
      <c r="A213" t="s">
        <v>1208</v>
      </c>
      <c r="B213" s="178">
        <v>121800</v>
      </c>
      <c r="C213" s="178" t="s">
        <v>711</v>
      </c>
    </row>
    <row r="214" spans="1:3" x14ac:dyDescent="0.3">
      <c r="A214" t="s">
        <v>1209</v>
      </c>
      <c r="B214" s="178">
        <v>654</v>
      </c>
      <c r="C214" s="178" t="s">
        <v>711</v>
      </c>
    </row>
    <row r="215" spans="1:3" x14ac:dyDescent="0.3">
      <c r="A215" t="s">
        <v>884</v>
      </c>
      <c r="B215" s="178">
        <v>550</v>
      </c>
      <c r="C215" s="178" t="s">
        <v>711</v>
      </c>
    </row>
    <row r="216" spans="1:3" x14ac:dyDescent="0.3">
      <c r="A216" t="s">
        <v>885</v>
      </c>
      <c r="B216" s="178">
        <v>3225</v>
      </c>
      <c r="C216" s="178" t="s">
        <v>711</v>
      </c>
    </row>
    <row r="217" spans="1:3" x14ac:dyDescent="0.3">
      <c r="A217" t="s">
        <v>886</v>
      </c>
      <c r="B217" s="178">
        <v>3293</v>
      </c>
      <c r="C217" s="178" t="s">
        <v>711</v>
      </c>
    </row>
    <row r="218" spans="1:3" x14ac:dyDescent="0.3">
      <c r="A218" t="s">
        <v>887</v>
      </c>
      <c r="B218" s="178" t="s">
        <v>711</v>
      </c>
      <c r="C218" s="178">
        <v>7887</v>
      </c>
    </row>
    <row r="219" spans="1:3" x14ac:dyDescent="0.3">
      <c r="A219" t="s">
        <v>888</v>
      </c>
      <c r="B219" s="178" t="s">
        <v>711</v>
      </c>
      <c r="C219" s="178">
        <v>7516432</v>
      </c>
    </row>
    <row r="220" spans="1:3" x14ac:dyDescent="0.3">
      <c r="A220" t="s">
        <v>889</v>
      </c>
      <c r="B220" s="178" t="s">
        <v>711</v>
      </c>
      <c r="C220" s="178">
        <v>26311</v>
      </c>
    </row>
    <row r="221" spans="1:3" x14ac:dyDescent="0.3">
      <c r="A221" t="s">
        <v>890</v>
      </c>
      <c r="B221" s="178">
        <v>433640</v>
      </c>
      <c r="C221" s="178" t="s">
        <v>711</v>
      </c>
    </row>
    <row r="222" spans="1:3" x14ac:dyDescent="0.3">
      <c r="A222" t="s">
        <v>891</v>
      </c>
      <c r="B222" s="178">
        <v>122218.5</v>
      </c>
      <c r="C222" s="178" t="s">
        <v>711</v>
      </c>
    </row>
    <row r="223" spans="1:3" x14ac:dyDescent="0.3">
      <c r="A223" t="s">
        <v>892</v>
      </c>
      <c r="B223" s="178">
        <v>75074</v>
      </c>
      <c r="C223" s="178" t="s">
        <v>711</v>
      </c>
    </row>
    <row r="224" spans="1:3" x14ac:dyDescent="0.3">
      <c r="A224" t="s">
        <v>893</v>
      </c>
      <c r="B224" s="178">
        <v>2933182</v>
      </c>
      <c r="C224" s="178" t="s">
        <v>711</v>
      </c>
    </row>
    <row r="225" spans="1:3" x14ac:dyDescent="0.3">
      <c r="A225" t="s">
        <v>894</v>
      </c>
      <c r="B225" s="178">
        <v>173292.68</v>
      </c>
      <c r="C225" s="178" t="s">
        <v>711</v>
      </c>
    </row>
    <row r="226" spans="1:3" x14ac:dyDescent="0.3">
      <c r="A226" t="s">
        <v>895</v>
      </c>
      <c r="B226" s="178">
        <v>40</v>
      </c>
      <c r="C226" s="178" t="s">
        <v>711</v>
      </c>
    </row>
    <row r="227" spans="1:3" x14ac:dyDescent="0.3">
      <c r="A227" t="s">
        <v>1210</v>
      </c>
      <c r="B227" s="178" t="s">
        <v>711</v>
      </c>
      <c r="C227" s="178">
        <v>121800</v>
      </c>
    </row>
    <row r="228" spans="1:3" x14ac:dyDescent="0.3">
      <c r="A228" t="s">
        <v>896</v>
      </c>
      <c r="B228" s="178">
        <v>0.42</v>
      </c>
      <c r="C228" s="178" t="s">
        <v>711</v>
      </c>
    </row>
    <row r="229" spans="1:3" x14ac:dyDescent="0.3">
      <c r="A229" t="s">
        <v>897</v>
      </c>
      <c r="B229" s="178">
        <v>0.08</v>
      </c>
      <c r="C229" s="178" t="s">
        <v>711</v>
      </c>
    </row>
    <row r="230" spans="1:3" x14ac:dyDescent="0.3">
      <c r="A230" t="s">
        <v>898</v>
      </c>
      <c r="B230" s="178" t="s">
        <v>711</v>
      </c>
      <c r="C230" s="178">
        <v>4580.8</v>
      </c>
    </row>
    <row r="231" spans="1:3" x14ac:dyDescent="0.3">
      <c r="A231" t="s">
        <v>899</v>
      </c>
      <c r="B231" s="178">
        <v>483873</v>
      </c>
      <c r="C231" s="178" t="s">
        <v>711</v>
      </c>
    </row>
    <row r="232" spans="1:3" x14ac:dyDescent="0.3">
      <c r="A232" t="s">
        <v>900</v>
      </c>
      <c r="B232" s="178">
        <v>3162</v>
      </c>
      <c r="C232" s="178" t="s">
        <v>711</v>
      </c>
    </row>
    <row r="233" spans="1:3" x14ac:dyDescent="0.3">
      <c r="A233" t="s">
        <v>1211</v>
      </c>
      <c r="B233" s="178" t="s">
        <v>711</v>
      </c>
      <c r="C233" s="178">
        <v>13159942</v>
      </c>
    </row>
    <row r="234" spans="1:3" x14ac:dyDescent="0.3">
      <c r="A234" t="s">
        <v>901</v>
      </c>
      <c r="B234" s="178" t="s">
        <v>711</v>
      </c>
      <c r="C234" s="178">
        <v>43636760.969999999</v>
      </c>
    </row>
    <row r="235" spans="1:3" x14ac:dyDescent="0.3">
      <c r="A235" t="s">
        <v>1144</v>
      </c>
      <c r="B235" s="178" t="s">
        <v>711</v>
      </c>
      <c r="C235" s="178">
        <v>200642.3</v>
      </c>
    </row>
    <row r="236" spans="1:3" x14ac:dyDescent="0.3">
      <c r="A236" t="s">
        <v>902</v>
      </c>
      <c r="B236" s="178">
        <v>4125</v>
      </c>
      <c r="C236" s="178" t="s">
        <v>711</v>
      </c>
    </row>
    <row r="237" spans="1:3" x14ac:dyDescent="0.3">
      <c r="A237" t="s">
        <v>903</v>
      </c>
      <c r="B237" s="178" t="s">
        <v>711</v>
      </c>
      <c r="C237" s="178">
        <v>4352</v>
      </c>
    </row>
    <row r="238" spans="1:3" x14ac:dyDescent="0.3">
      <c r="A238" t="s">
        <v>904</v>
      </c>
      <c r="B238" s="178" t="s">
        <v>711</v>
      </c>
      <c r="C238" s="178">
        <v>186707</v>
      </c>
    </row>
    <row r="239" spans="1:3" x14ac:dyDescent="0.3">
      <c r="A239" t="s">
        <v>905</v>
      </c>
      <c r="B239" s="178" t="s">
        <v>711</v>
      </c>
      <c r="C239" s="178">
        <v>2480</v>
      </c>
    </row>
    <row r="240" spans="1:3" x14ac:dyDescent="0.3">
      <c r="A240" t="s">
        <v>1275</v>
      </c>
      <c r="B240" s="178" t="s">
        <v>711</v>
      </c>
      <c r="C240" s="178">
        <v>7924.38</v>
      </c>
    </row>
    <row r="241" spans="1:3" x14ac:dyDescent="0.3">
      <c r="A241" t="s">
        <v>906</v>
      </c>
      <c r="B241" s="178" t="s">
        <v>711</v>
      </c>
      <c r="C241" s="178">
        <v>4675</v>
      </c>
    </row>
    <row r="242" spans="1:3" x14ac:dyDescent="0.3">
      <c r="A242" t="s">
        <v>907</v>
      </c>
      <c r="B242" s="178">
        <v>255</v>
      </c>
      <c r="C242" s="178" t="s">
        <v>711</v>
      </c>
    </row>
    <row r="243" spans="1:3" x14ac:dyDescent="0.3">
      <c r="A243" t="s">
        <v>908</v>
      </c>
      <c r="B243" s="178">
        <v>176330.58</v>
      </c>
      <c r="C243" s="178" t="s">
        <v>711</v>
      </c>
    </row>
    <row r="244" spans="1:3" x14ac:dyDescent="0.3">
      <c r="A244" t="s">
        <v>1276</v>
      </c>
      <c r="B244" s="178">
        <v>1416</v>
      </c>
      <c r="C244" s="178" t="s">
        <v>711</v>
      </c>
    </row>
    <row r="245" spans="1:3" x14ac:dyDescent="0.3">
      <c r="A245" t="s">
        <v>909</v>
      </c>
      <c r="B245" s="178" t="s">
        <v>711</v>
      </c>
      <c r="C245" s="178">
        <v>2000</v>
      </c>
    </row>
    <row r="246" spans="1:3" x14ac:dyDescent="0.3">
      <c r="A246" t="s">
        <v>910</v>
      </c>
      <c r="B246" s="178" t="s">
        <v>711</v>
      </c>
      <c r="C246" s="178">
        <v>871523</v>
      </c>
    </row>
    <row r="247" spans="1:3" x14ac:dyDescent="0.3">
      <c r="A247" t="s">
        <v>911</v>
      </c>
      <c r="B247" s="178">
        <v>1296</v>
      </c>
      <c r="C247" s="178" t="s">
        <v>711</v>
      </c>
    </row>
    <row r="248" spans="1:3" x14ac:dyDescent="0.3">
      <c r="A248" t="s">
        <v>912</v>
      </c>
      <c r="B248" s="178">
        <v>5900</v>
      </c>
      <c r="C248" s="178" t="s">
        <v>711</v>
      </c>
    </row>
    <row r="249" spans="1:3" x14ac:dyDescent="0.3">
      <c r="A249" t="s">
        <v>913</v>
      </c>
      <c r="B249" s="178">
        <v>0.04</v>
      </c>
      <c r="C249" s="178" t="s">
        <v>711</v>
      </c>
    </row>
    <row r="250" spans="1:3" x14ac:dyDescent="0.3">
      <c r="A250" t="s">
        <v>1212</v>
      </c>
      <c r="B250" s="178" t="s">
        <v>711</v>
      </c>
      <c r="C250" s="178">
        <v>14360</v>
      </c>
    </row>
    <row r="251" spans="1:3" x14ac:dyDescent="0.3">
      <c r="A251" t="s">
        <v>914</v>
      </c>
      <c r="B251" s="178" t="s">
        <v>711</v>
      </c>
      <c r="C251" s="178">
        <v>0.4</v>
      </c>
    </row>
    <row r="252" spans="1:3" x14ac:dyDescent="0.3">
      <c r="A252" t="s">
        <v>1213</v>
      </c>
      <c r="B252" s="178" t="s">
        <v>711</v>
      </c>
      <c r="C252" s="178">
        <v>8310</v>
      </c>
    </row>
    <row r="253" spans="1:3" x14ac:dyDescent="0.3">
      <c r="A253" t="s">
        <v>915</v>
      </c>
      <c r="B253" s="178" t="s">
        <v>711</v>
      </c>
      <c r="C253" s="178" t="s">
        <v>711</v>
      </c>
    </row>
    <row r="254" spans="1:3" x14ac:dyDescent="0.3">
      <c r="A254" t="s">
        <v>916</v>
      </c>
      <c r="B254" s="178" t="s">
        <v>711</v>
      </c>
      <c r="C254" s="178">
        <v>321</v>
      </c>
    </row>
    <row r="255" spans="1:3" x14ac:dyDescent="0.3">
      <c r="A255" t="s">
        <v>917</v>
      </c>
      <c r="B255" s="178" t="s">
        <v>711</v>
      </c>
      <c r="C255" s="178">
        <v>485</v>
      </c>
    </row>
    <row r="256" spans="1:3" x14ac:dyDescent="0.3">
      <c r="A256" t="s">
        <v>918</v>
      </c>
      <c r="B256" s="178">
        <v>1390.45</v>
      </c>
      <c r="C256" s="178" t="s">
        <v>711</v>
      </c>
    </row>
    <row r="257" spans="1:3" x14ac:dyDescent="0.3">
      <c r="A257" t="s">
        <v>919</v>
      </c>
      <c r="B257" s="178">
        <v>1770</v>
      </c>
      <c r="C257" s="178" t="s">
        <v>711</v>
      </c>
    </row>
    <row r="258" spans="1:3" x14ac:dyDescent="0.3">
      <c r="A258" t="s">
        <v>920</v>
      </c>
      <c r="B258" s="178" t="s">
        <v>711</v>
      </c>
      <c r="C258" s="178">
        <v>150500</v>
      </c>
    </row>
    <row r="259" spans="1:3" x14ac:dyDescent="0.3">
      <c r="A259" t="s">
        <v>921</v>
      </c>
      <c r="B259" s="178" t="s">
        <v>711</v>
      </c>
      <c r="C259" s="178">
        <v>474791.1</v>
      </c>
    </row>
    <row r="260" spans="1:3" x14ac:dyDescent="0.3">
      <c r="A260" t="s">
        <v>922</v>
      </c>
      <c r="B260" s="178" t="s">
        <v>711</v>
      </c>
      <c r="C260" s="178">
        <v>395772.04</v>
      </c>
    </row>
    <row r="261" spans="1:3" x14ac:dyDescent="0.3">
      <c r="A261" t="s">
        <v>923</v>
      </c>
      <c r="B261" s="178" t="s">
        <v>711</v>
      </c>
      <c r="C261" s="178">
        <v>10.25</v>
      </c>
    </row>
    <row r="262" spans="1:3" x14ac:dyDescent="0.3">
      <c r="A262" t="s">
        <v>924</v>
      </c>
      <c r="B262" s="178">
        <v>9.5</v>
      </c>
      <c r="C262" s="178" t="s">
        <v>711</v>
      </c>
    </row>
    <row r="263" spans="1:3" x14ac:dyDescent="0.3">
      <c r="A263" t="s">
        <v>925</v>
      </c>
      <c r="B263" s="178" t="s">
        <v>711</v>
      </c>
      <c r="C263" s="178">
        <v>226544.74</v>
      </c>
    </row>
    <row r="264" spans="1:3" x14ac:dyDescent="0.3">
      <c r="A264" t="s">
        <v>926</v>
      </c>
      <c r="B264" s="178" t="s">
        <v>711</v>
      </c>
      <c r="C264" s="178">
        <v>343296.51</v>
      </c>
    </row>
    <row r="265" spans="1:3" x14ac:dyDescent="0.3">
      <c r="A265" t="s">
        <v>927</v>
      </c>
      <c r="B265" s="178" t="s">
        <v>711</v>
      </c>
      <c r="C265" s="178">
        <v>427750</v>
      </c>
    </row>
    <row r="266" spans="1:3" x14ac:dyDescent="0.3">
      <c r="A266" t="s">
        <v>928</v>
      </c>
      <c r="B266" s="178" t="s">
        <v>711</v>
      </c>
      <c r="C266" s="178" t="s">
        <v>711</v>
      </c>
    </row>
    <row r="267" spans="1:3" x14ac:dyDescent="0.3">
      <c r="A267" t="s">
        <v>929</v>
      </c>
      <c r="B267" s="178" t="s">
        <v>711</v>
      </c>
      <c r="C267" s="178">
        <v>542999</v>
      </c>
    </row>
    <row r="268" spans="1:3" x14ac:dyDescent="0.3">
      <c r="A268" t="s">
        <v>930</v>
      </c>
      <c r="B268" s="178" t="s">
        <v>711</v>
      </c>
      <c r="C268" s="178">
        <v>509.76</v>
      </c>
    </row>
    <row r="269" spans="1:3" x14ac:dyDescent="0.3">
      <c r="A269" t="s">
        <v>931</v>
      </c>
      <c r="B269" s="178">
        <v>3105000</v>
      </c>
      <c r="C269" s="178" t="s">
        <v>711</v>
      </c>
    </row>
    <row r="270" spans="1:3" x14ac:dyDescent="0.3">
      <c r="A270" t="s">
        <v>932</v>
      </c>
      <c r="B270" s="178" t="s">
        <v>711</v>
      </c>
      <c r="C270" s="178">
        <v>26975</v>
      </c>
    </row>
    <row r="271" spans="1:3" x14ac:dyDescent="0.3">
      <c r="A271" t="s">
        <v>1214</v>
      </c>
      <c r="B271" s="178" t="s">
        <v>711</v>
      </c>
      <c r="C271" s="178">
        <v>4750927.8</v>
      </c>
    </row>
    <row r="272" spans="1:3" x14ac:dyDescent="0.3">
      <c r="A272" t="s">
        <v>933</v>
      </c>
      <c r="B272" s="178" t="s">
        <v>711</v>
      </c>
      <c r="C272" s="178">
        <v>12740.44</v>
      </c>
    </row>
    <row r="273" spans="1:3" x14ac:dyDescent="0.3">
      <c r="A273" t="s">
        <v>1277</v>
      </c>
      <c r="B273" s="178">
        <v>60000</v>
      </c>
      <c r="C273" s="178" t="s">
        <v>711</v>
      </c>
    </row>
    <row r="274" spans="1:3" x14ac:dyDescent="0.3">
      <c r="A274" t="s">
        <v>934</v>
      </c>
      <c r="B274" s="178" t="s">
        <v>711</v>
      </c>
      <c r="C274" s="178">
        <v>1883180.78</v>
      </c>
    </row>
    <row r="275" spans="1:3" x14ac:dyDescent="0.3">
      <c r="A275" t="s">
        <v>935</v>
      </c>
      <c r="B275" s="178" t="s">
        <v>711</v>
      </c>
      <c r="C275" s="178">
        <v>231280</v>
      </c>
    </row>
    <row r="276" spans="1:3" x14ac:dyDescent="0.3">
      <c r="A276" t="s">
        <v>936</v>
      </c>
      <c r="B276" s="178" t="s">
        <v>711</v>
      </c>
      <c r="C276" s="178">
        <v>146202</v>
      </c>
    </row>
    <row r="277" spans="1:3" x14ac:dyDescent="0.3">
      <c r="A277" t="s">
        <v>937</v>
      </c>
      <c r="B277" s="178" t="s">
        <v>711</v>
      </c>
      <c r="C277" s="178" t="s">
        <v>711</v>
      </c>
    </row>
    <row r="278" spans="1:3" x14ac:dyDescent="0.3">
      <c r="A278" t="s">
        <v>938</v>
      </c>
      <c r="B278" s="178" t="s">
        <v>711</v>
      </c>
      <c r="C278" s="178">
        <v>0.4</v>
      </c>
    </row>
    <row r="279" spans="1:3" x14ac:dyDescent="0.3">
      <c r="A279" t="s">
        <v>1278</v>
      </c>
      <c r="B279" s="178">
        <v>5900</v>
      </c>
      <c r="C279" s="178" t="s">
        <v>711</v>
      </c>
    </row>
    <row r="280" spans="1:3" x14ac:dyDescent="0.3">
      <c r="A280" t="s">
        <v>939</v>
      </c>
      <c r="B280" s="178" t="s">
        <v>711</v>
      </c>
      <c r="C280" s="178">
        <v>1906115.02</v>
      </c>
    </row>
    <row r="281" spans="1:3" x14ac:dyDescent="0.3">
      <c r="A281" t="s">
        <v>940</v>
      </c>
      <c r="B281" s="178" t="s">
        <v>711</v>
      </c>
      <c r="C281" s="178">
        <v>267</v>
      </c>
    </row>
    <row r="282" spans="1:3" x14ac:dyDescent="0.3">
      <c r="A282" t="s">
        <v>941</v>
      </c>
      <c r="B282" s="178" t="s">
        <v>711</v>
      </c>
      <c r="C282" s="178">
        <v>1744856.22</v>
      </c>
    </row>
    <row r="283" spans="1:3" x14ac:dyDescent="0.3">
      <c r="A283" t="s">
        <v>942</v>
      </c>
      <c r="B283" s="178">
        <v>1</v>
      </c>
      <c r="C283" s="178" t="s">
        <v>711</v>
      </c>
    </row>
    <row r="284" spans="1:3" x14ac:dyDescent="0.3">
      <c r="A284" t="s">
        <v>943</v>
      </c>
      <c r="B284" s="178">
        <v>0.26</v>
      </c>
      <c r="C284" s="178" t="s">
        <v>711</v>
      </c>
    </row>
    <row r="285" spans="1:3" x14ac:dyDescent="0.3">
      <c r="A285" t="s">
        <v>944</v>
      </c>
      <c r="B285" s="178" t="s">
        <v>711</v>
      </c>
      <c r="C285" s="178">
        <v>298020</v>
      </c>
    </row>
    <row r="286" spans="1:3" x14ac:dyDescent="0.3">
      <c r="A286" t="s">
        <v>945</v>
      </c>
      <c r="B286" s="178">
        <v>1013.27</v>
      </c>
      <c r="C286" s="178" t="s">
        <v>711</v>
      </c>
    </row>
    <row r="287" spans="1:3" x14ac:dyDescent="0.3">
      <c r="A287" t="s">
        <v>946</v>
      </c>
      <c r="B287" s="178">
        <v>87248</v>
      </c>
      <c r="C287" s="178" t="s">
        <v>711</v>
      </c>
    </row>
    <row r="288" spans="1:3" x14ac:dyDescent="0.3">
      <c r="A288" t="s">
        <v>947</v>
      </c>
      <c r="B288" s="178">
        <v>2</v>
      </c>
      <c r="C288" s="178" t="s">
        <v>711</v>
      </c>
    </row>
    <row r="289" spans="1:3" x14ac:dyDescent="0.3">
      <c r="A289" t="s">
        <v>1215</v>
      </c>
      <c r="B289" s="178">
        <v>0.22</v>
      </c>
      <c r="C289" s="178" t="s">
        <v>711</v>
      </c>
    </row>
    <row r="290" spans="1:3" x14ac:dyDescent="0.3">
      <c r="A290" t="s">
        <v>948</v>
      </c>
      <c r="B290" s="178" t="s">
        <v>711</v>
      </c>
      <c r="C290" s="178">
        <v>56495</v>
      </c>
    </row>
    <row r="291" spans="1:3" x14ac:dyDescent="0.3">
      <c r="A291" t="s">
        <v>949</v>
      </c>
      <c r="B291" s="178">
        <v>2.4700000000000002</v>
      </c>
      <c r="C291" s="178" t="s">
        <v>711</v>
      </c>
    </row>
    <row r="292" spans="1:3" x14ac:dyDescent="0.3">
      <c r="A292" t="s">
        <v>1216</v>
      </c>
      <c r="B292" s="178" t="s">
        <v>711</v>
      </c>
      <c r="C292" s="178">
        <v>2941508</v>
      </c>
    </row>
    <row r="293" spans="1:3" x14ac:dyDescent="0.3">
      <c r="A293" t="s">
        <v>950</v>
      </c>
      <c r="B293" s="178">
        <v>50000</v>
      </c>
      <c r="C293" s="178" t="s">
        <v>711</v>
      </c>
    </row>
    <row r="294" spans="1:3" x14ac:dyDescent="0.3">
      <c r="A294" t="s">
        <v>951</v>
      </c>
      <c r="B294" s="178" t="s">
        <v>711</v>
      </c>
      <c r="C294" s="178">
        <v>246940</v>
      </c>
    </row>
    <row r="295" spans="1:3" x14ac:dyDescent="0.3">
      <c r="A295" t="s">
        <v>952</v>
      </c>
      <c r="B295" s="178" t="s">
        <v>711</v>
      </c>
      <c r="C295" s="178">
        <v>38194.32</v>
      </c>
    </row>
    <row r="296" spans="1:3" x14ac:dyDescent="0.3">
      <c r="A296" t="s">
        <v>953</v>
      </c>
      <c r="B296" s="178">
        <v>7087.5</v>
      </c>
      <c r="C296" s="178" t="s">
        <v>711</v>
      </c>
    </row>
    <row r="297" spans="1:3" x14ac:dyDescent="0.3">
      <c r="A297" t="s">
        <v>954</v>
      </c>
      <c r="B297" s="178" t="s">
        <v>711</v>
      </c>
      <c r="C297" s="178">
        <v>1</v>
      </c>
    </row>
    <row r="298" spans="1:3" x14ac:dyDescent="0.3">
      <c r="A298" t="s">
        <v>955</v>
      </c>
      <c r="B298" s="178" t="s">
        <v>711</v>
      </c>
      <c r="C298" s="178">
        <v>161.4</v>
      </c>
    </row>
    <row r="299" spans="1:3" x14ac:dyDescent="0.3">
      <c r="A299" t="s">
        <v>956</v>
      </c>
      <c r="B299" s="178" t="s">
        <v>711</v>
      </c>
      <c r="C299" s="178">
        <v>1133</v>
      </c>
    </row>
    <row r="300" spans="1:3" x14ac:dyDescent="0.3">
      <c r="A300" t="s">
        <v>957</v>
      </c>
      <c r="B300" s="178" t="s">
        <v>711</v>
      </c>
      <c r="C300" s="178">
        <v>3240619.63</v>
      </c>
    </row>
    <row r="301" spans="1:3" x14ac:dyDescent="0.3">
      <c r="A301" t="s">
        <v>958</v>
      </c>
      <c r="B301" s="178" t="s">
        <v>711</v>
      </c>
      <c r="C301" s="178">
        <v>2678</v>
      </c>
    </row>
    <row r="302" spans="1:3" x14ac:dyDescent="0.3">
      <c r="A302" t="s">
        <v>959</v>
      </c>
      <c r="B302" s="178">
        <v>9799.75</v>
      </c>
      <c r="C302" s="178" t="s">
        <v>711</v>
      </c>
    </row>
    <row r="303" spans="1:3" x14ac:dyDescent="0.3">
      <c r="A303" t="s">
        <v>1217</v>
      </c>
      <c r="B303" s="178" t="s">
        <v>711</v>
      </c>
      <c r="C303" s="178">
        <v>14611.5</v>
      </c>
    </row>
    <row r="304" spans="1:3" x14ac:dyDescent="0.3">
      <c r="A304" t="s">
        <v>960</v>
      </c>
      <c r="B304" s="178" t="s">
        <v>711</v>
      </c>
      <c r="C304" s="178">
        <v>1</v>
      </c>
    </row>
    <row r="305" spans="1:3" x14ac:dyDescent="0.3">
      <c r="A305" t="s">
        <v>961</v>
      </c>
      <c r="B305" s="178">
        <v>177</v>
      </c>
      <c r="C305" s="178" t="s">
        <v>711</v>
      </c>
    </row>
    <row r="306" spans="1:3" x14ac:dyDescent="0.3">
      <c r="A306" t="s">
        <v>962</v>
      </c>
      <c r="B306" s="178" t="s">
        <v>711</v>
      </c>
      <c r="C306" s="178">
        <v>3374019</v>
      </c>
    </row>
    <row r="307" spans="1:3" x14ac:dyDescent="0.3">
      <c r="A307" t="s">
        <v>963</v>
      </c>
      <c r="B307" s="178" t="s">
        <v>711</v>
      </c>
      <c r="C307" s="178">
        <v>23458</v>
      </c>
    </row>
    <row r="308" spans="1:3" x14ac:dyDescent="0.3">
      <c r="A308" t="s">
        <v>964</v>
      </c>
      <c r="B308" s="178" t="s">
        <v>711</v>
      </c>
      <c r="C308" s="178">
        <v>4293</v>
      </c>
    </row>
    <row r="309" spans="1:3" x14ac:dyDescent="0.3">
      <c r="A309" t="s">
        <v>965</v>
      </c>
      <c r="B309" s="178" t="s">
        <v>711</v>
      </c>
      <c r="C309" s="178">
        <v>76984.27</v>
      </c>
    </row>
    <row r="310" spans="1:3" x14ac:dyDescent="0.3">
      <c r="A310" t="s">
        <v>966</v>
      </c>
      <c r="B310" s="178" t="s">
        <v>711</v>
      </c>
      <c r="C310" s="178">
        <v>9187</v>
      </c>
    </row>
    <row r="311" spans="1:3" x14ac:dyDescent="0.3">
      <c r="A311" t="s">
        <v>967</v>
      </c>
      <c r="B311" s="178" t="s">
        <v>711</v>
      </c>
      <c r="C311" s="178">
        <v>203905</v>
      </c>
    </row>
    <row r="312" spans="1:3" x14ac:dyDescent="0.3">
      <c r="A312" t="s">
        <v>968</v>
      </c>
      <c r="B312" s="178" t="s">
        <v>711</v>
      </c>
      <c r="C312" s="178">
        <v>35170</v>
      </c>
    </row>
    <row r="313" spans="1:3" x14ac:dyDescent="0.3">
      <c r="A313" t="s">
        <v>969</v>
      </c>
      <c r="B313" s="178" t="s">
        <v>711</v>
      </c>
      <c r="C313" s="178">
        <v>53822</v>
      </c>
    </row>
    <row r="314" spans="1:3" x14ac:dyDescent="0.3">
      <c r="A314" t="s">
        <v>970</v>
      </c>
      <c r="B314" s="178" t="s">
        <v>711</v>
      </c>
      <c r="C314" s="178">
        <v>6332</v>
      </c>
    </row>
    <row r="315" spans="1:3" x14ac:dyDescent="0.3">
      <c r="A315" t="s">
        <v>971</v>
      </c>
      <c r="B315" s="178" t="s">
        <v>711</v>
      </c>
      <c r="C315" s="178" t="s">
        <v>711</v>
      </c>
    </row>
    <row r="316" spans="1:3" x14ac:dyDescent="0.3">
      <c r="A316" t="s">
        <v>972</v>
      </c>
      <c r="B316" s="178" t="s">
        <v>711</v>
      </c>
      <c r="C316" s="178">
        <v>453096</v>
      </c>
    </row>
    <row r="317" spans="1:3" x14ac:dyDescent="0.3">
      <c r="A317" t="s">
        <v>973</v>
      </c>
      <c r="B317" s="178">
        <v>681</v>
      </c>
      <c r="C317" s="178" t="s">
        <v>711</v>
      </c>
    </row>
    <row r="318" spans="1:3" x14ac:dyDescent="0.3">
      <c r="A318" t="s">
        <v>974</v>
      </c>
      <c r="B318" s="178">
        <v>0.2</v>
      </c>
      <c r="C318" s="178" t="s">
        <v>711</v>
      </c>
    </row>
    <row r="319" spans="1:3" x14ac:dyDescent="0.3">
      <c r="A319" t="s">
        <v>975</v>
      </c>
      <c r="B319" s="178">
        <v>1872.27</v>
      </c>
      <c r="C319" s="178" t="s">
        <v>711</v>
      </c>
    </row>
    <row r="320" spans="1:3" x14ac:dyDescent="0.3">
      <c r="A320" t="s">
        <v>976</v>
      </c>
      <c r="B320" s="178">
        <v>0.2</v>
      </c>
      <c r="C320" s="178" t="s">
        <v>711</v>
      </c>
    </row>
    <row r="321" spans="1:3" x14ac:dyDescent="0.3">
      <c r="A321" t="s">
        <v>977</v>
      </c>
      <c r="B321" s="178" t="s">
        <v>711</v>
      </c>
      <c r="C321" s="178">
        <v>402268.5</v>
      </c>
    </row>
    <row r="322" spans="1:3" x14ac:dyDescent="0.3">
      <c r="A322" t="s">
        <v>978</v>
      </c>
      <c r="B322" s="178" t="s">
        <v>711</v>
      </c>
      <c r="C322" s="178">
        <v>1576480</v>
      </c>
    </row>
    <row r="323" spans="1:3" x14ac:dyDescent="0.3">
      <c r="A323" t="s">
        <v>979</v>
      </c>
      <c r="B323" s="178">
        <v>5743.48</v>
      </c>
      <c r="C323" s="178" t="s">
        <v>711</v>
      </c>
    </row>
    <row r="324" spans="1:3" x14ac:dyDescent="0.3">
      <c r="A324" t="s">
        <v>980</v>
      </c>
      <c r="B324" s="178" t="s">
        <v>711</v>
      </c>
      <c r="C324" s="178">
        <v>12281.8</v>
      </c>
    </row>
    <row r="325" spans="1:3" x14ac:dyDescent="0.3">
      <c r="A325" t="s">
        <v>981</v>
      </c>
      <c r="B325" s="178">
        <v>108245</v>
      </c>
      <c r="C325" s="178" t="s">
        <v>711</v>
      </c>
    </row>
    <row r="326" spans="1:3" x14ac:dyDescent="0.3">
      <c r="A326" t="s">
        <v>982</v>
      </c>
      <c r="B326" s="178" t="s">
        <v>711</v>
      </c>
      <c r="C326" s="178">
        <v>40000</v>
      </c>
    </row>
    <row r="327" spans="1:3" x14ac:dyDescent="0.3">
      <c r="A327" t="s">
        <v>983</v>
      </c>
      <c r="B327" s="178" t="s">
        <v>711</v>
      </c>
      <c r="C327" s="178">
        <v>1118628</v>
      </c>
    </row>
    <row r="328" spans="1:3" x14ac:dyDescent="0.3">
      <c r="A328" t="s">
        <v>984</v>
      </c>
      <c r="B328" s="178">
        <v>90604</v>
      </c>
      <c r="C328" s="178" t="s">
        <v>711</v>
      </c>
    </row>
    <row r="329" spans="1:3" x14ac:dyDescent="0.3">
      <c r="A329" t="s">
        <v>985</v>
      </c>
      <c r="B329" s="178">
        <v>43515</v>
      </c>
      <c r="C329" s="178" t="s">
        <v>711</v>
      </c>
    </row>
    <row r="330" spans="1:3" x14ac:dyDescent="0.3">
      <c r="A330" t="s">
        <v>986</v>
      </c>
      <c r="B330" s="178" t="s">
        <v>711</v>
      </c>
      <c r="C330" s="178">
        <v>872085.26</v>
      </c>
    </row>
    <row r="331" spans="1:3" x14ac:dyDescent="0.3">
      <c r="A331" t="s">
        <v>987</v>
      </c>
      <c r="B331" s="178">
        <v>26</v>
      </c>
      <c r="C331" s="178" t="s">
        <v>711</v>
      </c>
    </row>
    <row r="332" spans="1:3" x14ac:dyDescent="0.3">
      <c r="A332" t="s">
        <v>988</v>
      </c>
      <c r="B332" s="178">
        <v>9936</v>
      </c>
      <c r="C332" s="178" t="s">
        <v>711</v>
      </c>
    </row>
    <row r="333" spans="1:3" x14ac:dyDescent="0.3">
      <c r="A333" t="s">
        <v>989</v>
      </c>
      <c r="B333" s="178" t="s">
        <v>711</v>
      </c>
      <c r="C333" s="178">
        <v>100000</v>
      </c>
    </row>
    <row r="334" spans="1:3" x14ac:dyDescent="0.3">
      <c r="A334" t="s">
        <v>1218</v>
      </c>
      <c r="B334" s="178" t="s">
        <v>711</v>
      </c>
      <c r="C334" s="178">
        <v>1416</v>
      </c>
    </row>
    <row r="335" spans="1:3" x14ac:dyDescent="0.3">
      <c r="A335" t="s">
        <v>990</v>
      </c>
      <c r="B335" s="178" t="s">
        <v>711</v>
      </c>
      <c r="C335" s="178">
        <v>206883</v>
      </c>
    </row>
    <row r="336" spans="1:3" x14ac:dyDescent="0.3">
      <c r="A336" t="s">
        <v>1219</v>
      </c>
      <c r="B336" s="178" t="s">
        <v>711</v>
      </c>
      <c r="C336" s="178">
        <v>904520.7</v>
      </c>
    </row>
    <row r="337" spans="1:3" x14ac:dyDescent="0.3">
      <c r="A337" t="s">
        <v>991</v>
      </c>
      <c r="B337" s="178" t="s">
        <v>711</v>
      </c>
      <c r="C337" s="178">
        <v>47.7</v>
      </c>
    </row>
    <row r="338" spans="1:3" x14ac:dyDescent="0.3">
      <c r="A338" t="s">
        <v>992</v>
      </c>
      <c r="B338" s="178" t="s">
        <v>711</v>
      </c>
      <c r="C338" s="178">
        <v>200001.8</v>
      </c>
    </row>
    <row r="339" spans="1:3" x14ac:dyDescent="0.3">
      <c r="A339" t="s">
        <v>993</v>
      </c>
      <c r="B339" s="178" t="s">
        <v>711</v>
      </c>
      <c r="C339" s="178">
        <v>20043</v>
      </c>
    </row>
    <row r="340" spans="1:3" x14ac:dyDescent="0.3">
      <c r="A340" t="s">
        <v>1220</v>
      </c>
      <c r="B340" s="178" t="s">
        <v>711</v>
      </c>
      <c r="C340" s="178">
        <v>0.52</v>
      </c>
    </row>
    <row r="341" spans="1:3" x14ac:dyDescent="0.3">
      <c r="A341" t="s">
        <v>994</v>
      </c>
      <c r="B341" s="178">
        <v>4746.3599999999997</v>
      </c>
      <c r="C341" s="178" t="s">
        <v>711</v>
      </c>
    </row>
    <row r="342" spans="1:3" x14ac:dyDescent="0.3">
      <c r="A342" t="s">
        <v>995</v>
      </c>
      <c r="B342" s="178">
        <v>1.4</v>
      </c>
      <c r="C342" s="178" t="s">
        <v>711</v>
      </c>
    </row>
    <row r="343" spans="1:3" x14ac:dyDescent="0.3">
      <c r="A343" t="s">
        <v>996</v>
      </c>
      <c r="B343" s="178" t="s">
        <v>711</v>
      </c>
      <c r="C343" s="178">
        <v>105669</v>
      </c>
    </row>
    <row r="344" spans="1:3" x14ac:dyDescent="0.3">
      <c r="A344" t="s">
        <v>997</v>
      </c>
      <c r="B344" s="178">
        <v>26725.5</v>
      </c>
      <c r="C344" s="178" t="s">
        <v>711</v>
      </c>
    </row>
    <row r="345" spans="1:3" x14ac:dyDescent="0.3">
      <c r="A345" t="s">
        <v>998</v>
      </c>
      <c r="B345" s="178" t="s">
        <v>711</v>
      </c>
      <c r="C345" s="178">
        <v>3348.04</v>
      </c>
    </row>
    <row r="346" spans="1:3" x14ac:dyDescent="0.3">
      <c r="A346" t="s">
        <v>999</v>
      </c>
      <c r="B346" s="178" t="s">
        <v>711</v>
      </c>
      <c r="C346" s="178">
        <v>0.7</v>
      </c>
    </row>
    <row r="347" spans="1:3" x14ac:dyDescent="0.3">
      <c r="A347" t="s">
        <v>1221</v>
      </c>
      <c r="B347" s="178">
        <v>0.16</v>
      </c>
      <c r="C347" s="178" t="s">
        <v>711</v>
      </c>
    </row>
    <row r="348" spans="1:3" x14ac:dyDescent="0.3">
      <c r="A348" t="s">
        <v>1000</v>
      </c>
      <c r="B348" s="178" t="s">
        <v>711</v>
      </c>
      <c r="C348" s="178">
        <v>1231</v>
      </c>
    </row>
    <row r="349" spans="1:3" x14ac:dyDescent="0.3">
      <c r="A349" t="s">
        <v>1001</v>
      </c>
      <c r="B349" s="178" t="s">
        <v>711</v>
      </c>
      <c r="C349" s="178">
        <v>345811</v>
      </c>
    </row>
    <row r="350" spans="1:3" x14ac:dyDescent="0.3">
      <c r="A350" t="s">
        <v>1002</v>
      </c>
      <c r="B350" s="178">
        <v>58366</v>
      </c>
      <c r="C350" s="178" t="s">
        <v>711</v>
      </c>
    </row>
    <row r="351" spans="1:3" x14ac:dyDescent="0.3">
      <c r="A351" t="s">
        <v>1003</v>
      </c>
      <c r="B351" s="178" t="s">
        <v>711</v>
      </c>
      <c r="C351" s="178">
        <v>38529.199999999997</v>
      </c>
    </row>
    <row r="352" spans="1:3" x14ac:dyDescent="0.3">
      <c r="A352" t="s">
        <v>1004</v>
      </c>
      <c r="B352" s="178" t="s">
        <v>711</v>
      </c>
      <c r="C352" s="178">
        <v>13859</v>
      </c>
    </row>
    <row r="353" spans="1:3" x14ac:dyDescent="0.3">
      <c r="A353" t="s">
        <v>1005</v>
      </c>
      <c r="B353" s="178" t="s">
        <v>711</v>
      </c>
      <c r="C353" s="178">
        <v>85255</v>
      </c>
    </row>
    <row r="354" spans="1:3" x14ac:dyDescent="0.3">
      <c r="A354" t="s">
        <v>1006</v>
      </c>
      <c r="B354" s="178" t="s">
        <v>711</v>
      </c>
      <c r="C354" s="178" t="s">
        <v>711</v>
      </c>
    </row>
    <row r="355" spans="1:3" x14ac:dyDescent="0.3">
      <c r="A355" t="s">
        <v>1007</v>
      </c>
      <c r="B355" s="178" t="s">
        <v>711</v>
      </c>
      <c r="C355" s="178">
        <v>135358</v>
      </c>
    </row>
    <row r="356" spans="1:3" x14ac:dyDescent="0.3">
      <c r="A356" t="s">
        <v>1008</v>
      </c>
      <c r="B356" s="178" t="s">
        <v>711</v>
      </c>
      <c r="C356" s="178">
        <v>7080</v>
      </c>
    </row>
    <row r="357" spans="1:3" x14ac:dyDescent="0.3">
      <c r="A357" t="s">
        <v>1009</v>
      </c>
      <c r="B357" s="178" t="s">
        <v>711</v>
      </c>
      <c r="C357" s="178">
        <v>126976</v>
      </c>
    </row>
    <row r="358" spans="1:3" x14ac:dyDescent="0.3">
      <c r="A358" t="s">
        <v>1010</v>
      </c>
      <c r="B358" s="178" t="s">
        <v>711</v>
      </c>
      <c r="C358" s="178">
        <v>19433</v>
      </c>
    </row>
    <row r="359" spans="1:3" x14ac:dyDescent="0.3">
      <c r="A359" t="s">
        <v>1011</v>
      </c>
      <c r="B359" s="178" t="s">
        <v>711</v>
      </c>
      <c r="C359" s="178">
        <v>2949818.51</v>
      </c>
    </row>
    <row r="360" spans="1:3" x14ac:dyDescent="0.3">
      <c r="A360" t="s">
        <v>1012</v>
      </c>
      <c r="B360" s="178" t="s">
        <v>711</v>
      </c>
      <c r="C360" s="178">
        <v>18999</v>
      </c>
    </row>
    <row r="361" spans="1:3" x14ac:dyDescent="0.3">
      <c r="A361" t="s">
        <v>1013</v>
      </c>
      <c r="B361" s="178" t="s">
        <v>711</v>
      </c>
      <c r="C361" s="178">
        <v>58037</v>
      </c>
    </row>
    <row r="362" spans="1:3" x14ac:dyDescent="0.3">
      <c r="A362" t="s">
        <v>1014</v>
      </c>
      <c r="B362" s="178" t="s">
        <v>711</v>
      </c>
      <c r="C362" s="178">
        <v>1241</v>
      </c>
    </row>
    <row r="363" spans="1:3" x14ac:dyDescent="0.3">
      <c r="A363" t="s">
        <v>1016</v>
      </c>
      <c r="B363" s="178" t="s">
        <v>711</v>
      </c>
      <c r="C363" s="178">
        <v>17759.490000000002</v>
      </c>
    </row>
    <row r="364" spans="1:3" x14ac:dyDescent="0.3">
      <c r="A364" t="s">
        <v>1017</v>
      </c>
      <c r="B364" s="178">
        <v>5211</v>
      </c>
      <c r="C364" s="178" t="s">
        <v>711</v>
      </c>
    </row>
    <row r="365" spans="1:3" x14ac:dyDescent="0.3">
      <c r="A365" t="s">
        <v>1018</v>
      </c>
      <c r="B365" s="178" t="s">
        <v>711</v>
      </c>
      <c r="C365" s="178">
        <v>330097.44</v>
      </c>
    </row>
    <row r="366" spans="1:3" x14ac:dyDescent="0.3">
      <c r="A366" t="s">
        <v>1019</v>
      </c>
      <c r="B366" s="178" t="s">
        <v>711</v>
      </c>
      <c r="C366" s="178">
        <v>54809</v>
      </c>
    </row>
    <row r="367" spans="1:3" x14ac:dyDescent="0.3">
      <c r="A367" t="s">
        <v>1222</v>
      </c>
      <c r="B367" s="178" t="s">
        <v>711</v>
      </c>
      <c r="C367" s="178">
        <v>687720</v>
      </c>
    </row>
    <row r="368" spans="1:3" x14ac:dyDescent="0.3">
      <c r="A368" t="s">
        <v>1223</v>
      </c>
      <c r="B368" s="178" t="s">
        <v>711</v>
      </c>
      <c r="C368" s="178">
        <v>174235.78</v>
      </c>
    </row>
    <row r="369" spans="1:3" x14ac:dyDescent="0.3">
      <c r="A369" t="s">
        <v>1224</v>
      </c>
      <c r="B369" s="178" t="s">
        <v>711</v>
      </c>
      <c r="C369" s="178">
        <v>29111</v>
      </c>
    </row>
    <row r="370" spans="1:3" x14ac:dyDescent="0.3">
      <c r="A370" t="s">
        <v>1020</v>
      </c>
      <c r="B370" s="178" t="s">
        <v>711</v>
      </c>
      <c r="C370" s="178">
        <v>8850</v>
      </c>
    </row>
    <row r="371" spans="1:3" x14ac:dyDescent="0.3">
      <c r="A371" t="s">
        <v>1021</v>
      </c>
      <c r="B371" s="178">
        <v>1</v>
      </c>
      <c r="C371" s="178" t="s">
        <v>711</v>
      </c>
    </row>
    <row r="372" spans="1:3" x14ac:dyDescent="0.3">
      <c r="A372" t="s">
        <v>1279</v>
      </c>
      <c r="B372" s="178" t="s">
        <v>711</v>
      </c>
      <c r="C372" s="178">
        <v>2950</v>
      </c>
    </row>
    <row r="373" spans="1:3" x14ac:dyDescent="0.3">
      <c r="A373" t="s">
        <v>1022</v>
      </c>
      <c r="B373" s="178" t="s">
        <v>711</v>
      </c>
      <c r="C373" s="178">
        <v>36400</v>
      </c>
    </row>
    <row r="374" spans="1:3" x14ac:dyDescent="0.3">
      <c r="A374" t="s">
        <v>1023</v>
      </c>
      <c r="B374" s="178">
        <v>28025</v>
      </c>
      <c r="C374" s="178" t="s">
        <v>711</v>
      </c>
    </row>
    <row r="375" spans="1:3" x14ac:dyDescent="0.3">
      <c r="A375" t="s">
        <v>1024</v>
      </c>
      <c r="B375" s="178" t="s">
        <v>711</v>
      </c>
      <c r="C375" s="178">
        <v>1260</v>
      </c>
    </row>
    <row r="376" spans="1:3" x14ac:dyDescent="0.3">
      <c r="A376" t="s">
        <v>1025</v>
      </c>
      <c r="B376" s="178" t="s">
        <v>711</v>
      </c>
      <c r="C376" s="178">
        <v>7500</v>
      </c>
    </row>
    <row r="377" spans="1:3" x14ac:dyDescent="0.3">
      <c r="A377" t="s">
        <v>1026</v>
      </c>
      <c r="B377" s="178" t="s">
        <v>711</v>
      </c>
      <c r="C377" s="178">
        <v>11544</v>
      </c>
    </row>
    <row r="378" spans="1:3" x14ac:dyDescent="0.3">
      <c r="A378" t="s">
        <v>1027</v>
      </c>
      <c r="B378" s="178" t="s">
        <v>711</v>
      </c>
      <c r="C378" s="178">
        <v>30</v>
      </c>
    </row>
    <row r="379" spans="1:3" x14ac:dyDescent="0.3">
      <c r="A379" t="s">
        <v>1225</v>
      </c>
      <c r="B379" s="178">
        <v>3705</v>
      </c>
      <c r="C379" s="178" t="s">
        <v>711</v>
      </c>
    </row>
    <row r="380" spans="1:3" x14ac:dyDescent="0.3">
      <c r="A380" t="s">
        <v>1226</v>
      </c>
      <c r="B380" s="178">
        <v>9</v>
      </c>
      <c r="C380" s="178" t="s">
        <v>711</v>
      </c>
    </row>
    <row r="381" spans="1:3" x14ac:dyDescent="0.3">
      <c r="A381" t="s">
        <v>1028</v>
      </c>
      <c r="B381" s="178" t="s">
        <v>711</v>
      </c>
      <c r="C381" s="178">
        <v>62730</v>
      </c>
    </row>
    <row r="382" spans="1:3" x14ac:dyDescent="0.3">
      <c r="A382" t="s">
        <v>1029</v>
      </c>
      <c r="B382" s="178" t="s">
        <v>711</v>
      </c>
      <c r="C382" s="178">
        <v>6850</v>
      </c>
    </row>
    <row r="383" spans="1:3" x14ac:dyDescent="0.3">
      <c r="A383" t="s">
        <v>1030</v>
      </c>
      <c r="B383" s="178" t="s">
        <v>711</v>
      </c>
      <c r="C383" s="178">
        <v>5475</v>
      </c>
    </row>
    <row r="384" spans="1:3" x14ac:dyDescent="0.3">
      <c r="A384" t="s">
        <v>1015</v>
      </c>
      <c r="B384" s="178" t="s">
        <v>711</v>
      </c>
      <c r="C384" s="178">
        <v>24346.37</v>
      </c>
    </row>
    <row r="385" spans="1:3" x14ac:dyDescent="0.3">
      <c r="A385" t="s">
        <v>1031</v>
      </c>
      <c r="B385" s="178" t="s">
        <v>711</v>
      </c>
      <c r="C385" s="178">
        <v>9999</v>
      </c>
    </row>
    <row r="386" spans="1:3" x14ac:dyDescent="0.3">
      <c r="A386" t="s">
        <v>1032</v>
      </c>
      <c r="B386" s="178" t="s">
        <v>711</v>
      </c>
      <c r="C386" s="178">
        <v>20400</v>
      </c>
    </row>
    <row r="387" spans="1:3" x14ac:dyDescent="0.3">
      <c r="A387" t="s">
        <v>1033</v>
      </c>
      <c r="B387" s="178" t="s">
        <v>711</v>
      </c>
      <c r="C387" s="178">
        <v>1401</v>
      </c>
    </row>
    <row r="388" spans="1:3" x14ac:dyDescent="0.3">
      <c r="A388" t="s">
        <v>1034</v>
      </c>
      <c r="B388" s="178">
        <v>17759</v>
      </c>
      <c r="C388" s="178" t="s">
        <v>711</v>
      </c>
    </row>
    <row r="389" spans="1:3" x14ac:dyDescent="0.3">
      <c r="A389" t="s">
        <v>1035</v>
      </c>
      <c r="B389" s="178" t="s">
        <v>711</v>
      </c>
      <c r="C389" s="178">
        <v>3245</v>
      </c>
    </row>
    <row r="390" spans="1:3" x14ac:dyDescent="0.3">
      <c r="A390" t="s">
        <v>1036</v>
      </c>
      <c r="B390" s="178" t="s">
        <v>711</v>
      </c>
      <c r="C390" s="178">
        <v>680</v>
      </c>
    </row>
    <row r="391" spans="1:3" x14ac:dyDescent="0.3">
      <c r="A391" t="s">
        <v>1037</v>
      </c>
      <c r="B391" s="178" t="s">
        <v>711</v>
      </c>
      <c r="C391" s="178">
        <v>1</v>
      </c>
    </row>
    <row r="392" spans="1:3" x14ac:dyDescent="0.3">
      <c r="A392" t="s">
        <v>1038</v>
      </c>
      <c r="B392" s="178" t="s">
        <v>711</v>
      </c>
      <c r="C392" s="178">
        <v>156.43</v>
      </c>
    </row>
    <row r="393" spans="1:3" x14ac:dyDescent="0.3">
      <c r="A393" t="s">
        <v>1039</v>
      </c>
      <c r="B393" s="178" t="s">
        <v>711</v>
      </c>
      <c r="C393" s="178">
        <v>0.56000000000000005</v>
      </c>
    </row>
    <row r="394" spans="1:3" x14ac:dyDescent="0.3">
      <c r="A394" t="s">
        <v>1040</v>
      </c>
      <c r="B394" s="178">
        <v>11561</v>
      </c>
      <c r="C394" s="178" t="s">
        <v>711</v>
      </c>
    </row>
    <row r="395" spans="1:3" x14ac:dyDescent="0.3">
      <c r="A395" t="s">
        <v>1041</v>
      </c>
      <c r="B395" s="178" t="s">
        <v>711</v>
      </c>
      <c r="C395" s="178">
        <v>1600</v>
      </c>
    </row>
    <row r="396" spans="1:3" x14ac:dyDescent="0.3">
      <c r="A396" t="s">
        <v>1042</v>
      </c>
      <c r="B396" s="178" t="s">
        <v>711</v>
      </c>
      <c r="C396" s="178" t="s">
        <v>711</v>
      </c>
    </row>
    <row r="397" spans="1:3" x14ac:dyDescent="0.3">
      <c r="A397" t="s">
        <v>1043</v>
      </c>
      <c r="B397" s="178">
        <v>1</v>
      </c>
      <c r="C397" s="178" t="s">
        <v>711</v>
      </c>
    </row>
    <row r="398" spans="1:3" x14ac:dyDescent="0.3">
      <c r="A398" t="s">
        <v>1044</v>
      </c>
      <c r="B398" s="178" t="s">
        <v>711</v>
      </c>
      <c r="C398" s="178">
        <v>4650</v>
      </c>
    </row>
    <row r="399" spans="1:3" x14ac:dyDescent="0.3">
      <c r="A399" t="s">
        <v>1045</v>
      </c>
      <c r="B399" s="178">
        <v>1</v>
      </c>
      <c r="C399" s="178" t="s">
        <v>711</v>
      </c>
    </row>
    <row r="400" spans="1:3" x14ac:dyDescent="0.3">
      <c r="A400" t="s">
        <v>1046</v>
      </c>
      <c r="B400" s="178" t="s">
        <v>711</v>
      </c>
      <c r="C400" s="178">
        <v>1500</v>
      </c>
    </row>
    <row r="401" spans="1:3" x14ac:dyDescent="0.3">
      <c r="A401" t="s">
        <v>1309</v>
      </c>
      <c r="B401" s="178">
        <v>13274</v>
      </c>
      <c r="C401" s="178" t="s">
        <v>711</v>
      </c>
    </row>
    <row r="402" spans="1:3" x14ac:dyDescent="0.3">
      <c r="A402" t="s">
        <v>1047</v>
      </c>
      <c r="B402" s="178" t="s">
        <v>711</v>
      </c>
      <c r="C402" s="178">
        <v>505.7</v>
      </c>
    </row>
    <row r="403" spans="1:3" x14ac:dyDescent="0.3">
      <c r="A403" t="s">
        <v>1048</v>
      </c>
      <c r="B403" s="178" t="s">
        <v>711</v>
      </c>
      <c r="C403" s="178" t="s">
        <v>711</v>
      </c>
    </row>
    <row r="404" spans="1:3" x14ac:dyDescent="0.3">
      <c r="A404" t="s">
        <v>1049</v>
      </c>
      <c r="B404" s="178" t="s">
        <v>711</v>
      </c>
      <c r="C404" s="178" t="s">
        <v>711</v>
      </c>
    </row>
    <row r="405" spans="1:3" x14ac:dyDescent="0.3">
      <c r="A405" t="s">
        <v>1050</v>
      </c>
      <c r="B405" s="178" t="s">
        <v>711</v>
      </c>
      <c r="C405" s="178">
        <v>582</v>
      </c>
    </row>
    <row r="406" spans="1:3" x14ac:dyDescent="0.3">
      <c r="A406" t="s">
        <v>1051</v>
      </c>
      <c r="B406" s="178" t="s">
        <v>711</v>
      </c>
      <c r="C406" s="178">
        <v>30860</v>
      </c>
    </row>
    <row r="407" spans="1:3" x14ac:dyDescent="0.3">
      <c r="A407" t="s">
        <v>1052</v>
      </c>
      <c r="B407" s="178" t="s">
        <v>711</v>
      </c>
      <c r="C407" s="178">
        <v>2816</v>
      </c>
    </row>
    <row r="408" spans="1:3" x14ac:dyDescent="0.3">
      <c r="A408" t="s">
        <v>1053</v>
      </c>
      <c r="B408" s="178" t="s">
        <v>711</v>
      </c>
      <c r="C408" s="178">
        <v>6900</v>
      </c>
    </row>
    <row r="409" spans="1:3" x14ac:dyDescent="0.3">
      <c r="A409" t="s">
        <v>1054</v>
      </c>
      <c r="B409" s="178" t="s">
        <v>711</v>
      </c>
      <c r="C409" s="178">
        <v>83</v>
      </c>
    </row>
    <row r="410" spans="1:3" x14ac:dyDescent="0.3">
      <c r="A410" t="s">
        <v>1055</v>
      </c>
      <c r="B410" s="178" t="s">
        <v>711</v>
      </c>
      <c r="C410" s="178">
        <v>7000</v>
      </c>
    </row>
    <row r="411" spans="1:3" x14ac:dyDescent="0.3">
      <c r="A411" t="s">
        <v>1056</v>
      </c>
      <c r="B411" s="178" t="s">
        <v>711</v>
      </c>
      <c r="C411" s="178">
        <v>8350</v>
      </c>
    </row>
    <row r="412" spans="1:3" x14ac:dyDescent="0.3">
      <c r="A412" t="s">
        <v>1057</v>
      </c>
      <c r="B412" s="178">
        <v>200000</v>
      </c>
      <c r="C412" s="178" t="s">
        <v>711</v>
      </c>
    </row>
    <row r="413" spans="1:3" x14ac:dyDescent="0.3">
      <c r="A413" t="s">
        <v>1058</v>
      </c>
      <c r="B413" s="178" t="s">
        <v>711</v>
      </c>
      <c r="C413" s="178">
        <v>3095</v>
      </c>
    </row>
    <row r="414" spans="1:3" x14ac:dyDescent="0.3">
      <c r="A414" t="s">
        <v>1280</v>
      </c>
      <c r="B414" s="178" t="s">
        <v>711</v>
      </c>
      <c r="C414" s="178">
        <v>1416</v>
      </c>
    </row>
    <row r="415" spans="1:3" x14ac:dyDescent="0.3">
      <c r="A415" t="s">
        <v>1059</v>
      </c>
      <c r="B415" s="178" t="s">
        <v>711</v>
      </c>
      <c r="C415" s="178">
        <v>36136.300000000003</v>
      </c>
    </row>
    <row r="416" spans="1:3" x14ac:dyDescent="0.3">
      <c r="A416" t="s">
        <v>1060</v>
      </c>
      <c r="B416" s="178" t="s">
        <v>711</v>
      </c>
      <c r="C416" s="178">
        <v>6000</v>
      </c>
    </row>
    <row r="417" spans="1:3" x14ac:dyDescent="0.3">
      <c r="A417" t="s">
        <v>1061</v>
      </c>
      <c r="B417" s="178">
        <v>161</v>
      </c>
      <c r="C417" s="178" t="s">
        <v>711</v>
      </c>
    </row>
    <row r="418" spans="1:3" x14ac:dyDescent="0.3">
      <c r="A418" t="s">
        <v>1062</v>
      </c>
      <c r="B418" s="178" t="s">
        <v>711</v>
      </c>
      <c r="C418" s="178">
        <v>18411</v>
      </c>
    </row>
    <row r="419" spans="1:3" x14ac:dyDescent="0.3">
      <c r="A419" t="s">
        <v>1063</v>
      </c>
      <c r="B419" s="178">
        <v>1133</v>
      </c>
      <c r="C419" s="178" t="s">
        <v>711</v>
      </c>
    </row>
    <row r="420" spans="1:3" x14ac:dyDescent="0.3">
      <c r="A420" t="s">
        <v>1064</v>
      </c>
      <c r="B420" s="178" t="s">
        <v>711</v>
      </c>
      <c r="C420" s="178">
        <v>88467</v>
      </c>
    </row>
    <row r="421" spans="1:3" x14ac:dyDescent="0.3">
      <c r="A421" t="s">
        <v>1065</v>
      </c>
      <c r="B421" s="178" t="s">
        <v>711</v>
      </c>
      <c r="C421" s="178">
        <v>1575</v>
      </c>
    </row>
    <row r="422" spans="1:3" x14ac:dyDescent="0.3">
      <c r="A422" t="s">
        <v>1227</v>
      </c>
      <c r="B422" s="178" t="s">
        <v>711</v>
      </c>
      <c r="C422" s="178">
        <v>6490</v>
      </c>
    </row>
    <row r="423" spans="1:3" x14ac:dyDescent="0.3">
      <c r="A423" t="s">
        <v>1066</v>
      </c>
      <c r="B423" s="178" t="s">
        <v>711</v>
      </c>
      <c r="C423" s="178">
        <v>2124</v>
      </c>
    </row>
    <row r="424" spans="1:3" x14ac:dyDescent="0.3">
      <c r="A424" t="s">
        <v>1228</v>
      </c>
      <c r="B424" s="178" t="s">
        <v>711</v>
      </c>
      <c r="C424" s="178">
        <v>58692</v>
      </c>
    </row>
    <row r="425" spans="1:3" x14ac:dyDescent="0.3">
      <c r="A425" t="s">
        <v>1229</v>
      </c>
      <c r="B425" s="178" t="s">
        <v>711</v>
      </c>
      <c r="C425" s="178">
        <v>12850</v>
      </c>
    </row>
    <row r="426" spans="1:3" x14ac:dyDescent="0.3">
      <c r="A426" t="s">
        <v>1067</v>
      </c>
      <c r="B426" s="178" t="s">
        <v>711</v>
      </c>
      <c r="C426" s="178">
        <v>2061</v>
      </c>
    </row>
    <row r="427" spans="1:3" x14ac:dyDescent="0.3">
      <c r="A427" t="s">
        <v>1068</v>
      </c>
      <c r="B427" s="178" t="s">
        <v>711</v>
      </c>
      <c r="C427" s="178">
        <v>12142</v>
      </c>
    </row>
    <row r="428" spans="1:3" x14ac:dyDescent="0.3">
      <c r="A428" t="s">
        <v>1069</v>
      </c>
      <c r="B428" s="178" t="s">
        <v>711</v>
      </c>
      <c r="C428" s="178">
        <v>19645</v>
      </c>
    </row>
    <row r="429" spans="1:3" x14ac:dyDescent="0.3">
      <c r="A429" t="s">
        <v>1070</v>
      </c>
      <c r="B429" s="178" t="s">
        <v>711</v>
      </c>
      <c r="C429" s="178">
        <v>11400</v>
      </c>
    </row>
    <row r="430" spans="1:3" x14ac:dyDescent="0.3">
      <c r="A430" t="s">
        <v>1071</v>
      </c>
      <c r="B430" s="178" t="s">
        <v>711</v>
      </c>
      <c r="C430" s="178">
        <v>7720</v>
      </c>
    </row>
    <row r="431" spans="1:3" x14ac:dyDescent="0.3">
      <c r="A431" t="s">
        <v>1072</v>
      </c>
      <c r="B431" s="178" t="s">
        <v>711</v>
      </c>
      <c r="C431" s="178">
        <v>3371</v>
      </c>
    </row>
    <row r="432" spans="1:3" x14ac:dyDescent="0.3">
      <c r="A432" t="s">
        <v>1073</v>
      </c>
      <c r="B432" s="178" t="s">
        <v>711</v>
      </c>
      <c r="C432" s="178">
        <v>21</v>
      </c>
    </row>
    <row r="433" spans="1:3" x14ac:dyDescent="0.3">
      <c r="A433" t="s">
        <v>1074</v>
      </c>
      <c r="B433" s="178" t="s">
        <v>711</v>
      </c>
      <c r="C433" s="178">
        <v>3350</v>
      </c>
    </row>
    <row r="434" spans="1:3" x14ac:dyDescent="0.3">
      <c r="A434" t="s">
        <v>1075</v>
      </c>
      <c r="B434" s="178" t="s">
        <v>711</v>
      </c>
      <c r="C434" s="178">
        <v>802872</v>
      </c>
    </row>
    <row r="435" spans="1:3" x14ac:dyDescent="0.3">
      <c r="A435" t="s">
        <v>1076</v>
      </c>
      <c r="B435" s="178" t="s">
        <v>711</v>
      </c>
      <c r="C435" s="178">
        <v>44690</v>
      </c>
    </row>
    <row r="436" spans="1:3" x14ac:dyDescent="0.3">
      <c r="A436" t="s">
        <v>1077</v>
      </c>
      <c r="B436" s="178" t="s">
        <v>711</v>
      </c>
      <c r="C436" s="178">
        <v>20935.599999999999</v>
      </c>
    </row>
    <row r="437" spans="1:3" x14ac:dyDescent="0.3">
      <c r="A437" t="s">
        <v>1078</v>
      </c>
      <c r="B437" s="178">
        <v>1</v>
      </c>
      <c r="C437" s="178" t="s">
        <v>711</v>
      </c>
    </row>
    <row r="438" spans="1:3" x14ac:dyDescent="0.3">
      <c r="A438" t="s">
        <v>1079</v>
      </c>
      <c r="B438" s="178" t="s">
        <v>711</v>
      </c>
      <c r="C438" s="178">
        <v>132396.79999999999</v>
      </c>
    </row>
    <row r="439" spans="1:3" x14ac:dyDescent="0.3">
      <c r="A439" t="s">
        <v>1080</v>
      </c>
      <c r="B439" s="178" t="s">
        <v>711</v>
      </c>
      <c r="C439" s="178">
        <v>1348501</v>
      </c>
    </row>
    <row r="440" spans="1:3" x14ac:dyDescent="0.3">
      <c r="A440" t="s">
        <v>1081</v>
      </c>
      <c r="B440" s="178">
        <v>8350</v>
      </c>
      <c r="C440" s="178" t="s">
        <v>711</v>
      </c>
    </row>
    <row r="441" spans="1:3" x14ac:dyDescent="0.3">
      <c r="A441" t="s">
        <v>1082</v>
      </c>
      <c r="B441" s="178" t="s">
        <v>711</v>
      </c>
      <c r="C441" s="178" t="s">
        <v>711</v>
      </c>
    </row>
    <row r="442" spans="1:3" x14ac:dyDescent="0.3">
      <c r="A442" t="s">
        <v>1083</v>
      </c>
      <c r="B442" s="178" t="s">
        <v>711</v>
      </c>
      <c r="C442" s="178">
        <v>186041</v>
      </c>
    </row>
    <row r="443" spans="1:3" x14ac:dyDescent="0.3">
      <c r="A443" t="s">
        <v>1084</v>
      </c>
      <c r="B443" s="178" t="s">
        <v>711</v>
      </c>
      <c r="C443" s="178">
        <v>213314</v>
      </c>
    </row>
    <row r="444" spans="1:3" x14ac:dyDescent="0.3">
      <c r="A444" t="s">
        <v>1085</v>
      </c>
      <c r="B444" s="178" t="s">
        <v>711</v>
      </c>
      <c r="C444" s="178">
        <v>14160</v>
      </c>
    </row>
    <row r="445" spans="1:3" x14ac:dyDescent="0.3">
      <c r="A445" t="s">
        <v>1086</v>
      </c>
      <c r="B445" s="178" t="s">
        <v>711</v>
      </c>
      <c r="C445" s="178">
        <v>6785</v>
      </c>
    </row>
    <row r="446" spans="1:3" x14ac:dyDescent="0.3">
      <c r="A446" t="s">
        <v>1087</v>
      </c>
      <c r="B446" s="178" t="s">
        <v>711</v>
      </c>
      <c r="C446" s="178">
        <v>18808.400000000001</v>
      </c>
    </row>
    <row r="447" spans="1:3" x14ac:dyDescent="0.3">
      <c r="A447" t="s">
        <v>1088</v>
      </c>
      <c r="B447" s="178">
        <v>700790</v>
      </c>
      <c r="C447" s="178" t="s">
        <v>711</v>
      </c>
    </row>
    <row r="448" spans="1:3" x14ac:dyDescent="0.3">
      <c r="A448" t="s">
        <v>1089</v>
      </c>
      <c r="B448" s="178">
        <v>146202</v>
      </c>
      <c r="C448" s="178" t="s">
        <v>711</v>
      </c>
    </row>
    <row r="449" spans="1:3" x14ac:dyDescent="0.3">
      <c r="A449" t="s">
        <v>1090</v>
      </c>
      <c r="B449" s="178" t="s">
        <v>711</v>
      </c>
      <c r="C449" s="178">
        <v>12862</v>
      </c>
    </row>
    <row r="450" spans="1:3" x14ac:dyDescent="0.3">
      <c r="A450" t="s">
        <v>1091</v>
      </c>
      <c r="B450" s="178" t="s">
        <v>711</v>
      </c>
      <c r="C450" s="178">
        <v>164766</v>
      </c>
    </row>
    <row r="451" spans="1:3" x14ac:dyDescent="0.3">
      <c r="A451" t="s">
        <v>1092</v>
      </c>
      <c r="B451" s="178">
        <v>24379</v>
      </c>
      <c r="C451" s="178" t="s">
        <v>711</v>
      </c>
    </row>
    <row r="452" spans="1:3" x14ac:dyDescent="0.3">
      <c r="A452" t="s">
        <v>1093</v>
      </c>
      <c r="B452" s="178" t="s">
        <v>711</v>
      </c>
      <c r="C452" s="178">
        <v>1.2</v>
      </c>
    </row>
    <row r="453" spans="1:3" x14ac:dyDescent="0.3">
      <c r="A453" t="s">
        <v>1094</v>
      </c>
      <c r="B453" s="178" t="s">
        <v>711</v>
      </c>
      <c r="C453" s="178">
        <v>92160</v>
      </c>
    </row>
    <row r="454" spans="1:3" x14ac:dyDescent="0.3">
      <c r="A454" t="s">
        <v>1095</v>
      </c>
      <c r="B454" s="178" t="s">
        <v>711</v>
      </c>
      <c r="C454" s="178">
        <v>4250</v>
      </c>
    </row>
    <row r="455" spans="1:3" x14ac:dyDescent="0.3">
      <c r="A455" t="s">
        <v>1096</v>
      </c>
      <c r="B455" s="178" t="s">
        <v>711</v>
      </c>
      <c r="C455" s="178">
        <v>1400</v>
      </c>
    </row>
    <row r="456" spans="1:3" x14ac:dyDescent="0.3">
      <c r="A456" t="s">
        <v>1097</v>
      </c>
      <c r="B456" s="178" t="s">
        <v>711</v>
      </c>
      <c r="C456" s="178">
        <v>3734770.09</v>
      </c>
    </row>
    <row r="457" spans="1:3" x14ac:dyDescent="0.3">
      <c r="A457" t="s">
        <v>1098</v>
      </c>
      <c r="B457" s="178" t="s">
        <v>711</v>
      </c>
      <c r="C457" s="178">
        <v>25950</v>
      </c>
    </row>
    <row r="458" spans="1:3" x14ac:dyDescent="0.3">
      <c r="A458" t="s">
        <v>1099</v>
      </c>
      <c r="B458" s="178" t="s">
        <v>711</v>
      </c>
      <c r="C458" s="178">
        <v>104458.7</v>
      </c>
    </row>
    <row r="459" spans="1:3" x14ac:dyDescent="0.3">
      <c r="A459" t="s">
        <v>1230</v>
      </c>
      <c r="B459" s="178" t="s">
        <v>711</v>
      </c>
      <c r="C459" s="178" t="s">
        <v>711</v>
      </c>
    </row>
    <row r="460" spans="1:3" x14ac:dyDescent="0.3">
      <c r="A460" t="s">
        <v>1100</v>
      </c>
      <c r="B460" s="178" t="s">
        <v>711</v>
      </c>
      <c r="C460" s="178">
        <v>8123</v>
      </c>
    </row>
    <row r="461" spans="1:3" x14ac:dyDescent="0.3">
      <c r="A461" t="s">
        <v>1101</v>
      </c>
      <c r="B461" s="178" t="s">
        <v>711</v>
      </c>
      <c r="C461" s="178">
        <v>14623</v>
      </c>
    </row>
    <row r="462" spans="1:3" x14ac:dyDescent="0.3">
      <c r="A462" t="s">
        <v>1102</v>
      </c>
      <c r="B462" s="178" t="s">
        <v>711</v>
      </c>
      <c r="C462" s="178">
        <v>1066</v>
      </c>
    </row>
    <row r="463" spans="1:3" x14ac:dyDescent="0.3">
      <c r="A463" t="s">
        <v>1103</v>
      </c>
      <c r="B463" s="178" t="s">
        <v>711</v>
      </c>
      <c r="C463" s="178">
        <v>10400</v>
      </c>
    </row>
    <row r="464" spans="1:3" x14ac:dyDescent="0.3">
      <c r="A464" t="s">
        <v>1104</v>
      </c>
      <c r="B464" s="178">
        <v>14</v>
      </c>
      <c r="C464" s="178" t="s">
        <v>711</v>
      </c>
    </row>
    <row r="465" spans="1:3" x14ac:dyDescent="0.3">
      <c r="A465" t="s">
        <v>1105</v>
      </c>
      <c r="B465" s="178" t="s">
        <v>711</v>
      </c>
      <c r="C465" s="178">
        <v>2389</v>
      </c>
    </row>
    <row r="466" spans="1:3" x14ac:dyDescent="0.3">
      <c r="A466" t="s">
        <v>1106</v>
      </c>
      <c r="B466" s="178">
        <v>25947</v>
      </c>
      <c r="C466" s="178" t="s">
        <v>711</v>
      </c>
    </row>
    <row r="467" spans="1:3" x14ac:dyDescent="0.3">
      <c r="A467" t="s">
        <v>1107</v>
      </c>
      <c r="B467" s="178" t="s">
        <v>711</v>
      </c>
      <c r="C467" s="178">
        <v>864000.48</v>
      </c>
    </row>
    <row r="468" spans="1:3" x14ac:dyDescent="0.3">
      <c r="A468" t="s">
        <v>1108</v>
      </c>
      <c r="B468" s="178" t="s">
        <v>711</v>
      </c>
      <c r="C468" s="178">
        <v>432000.48</v>
      </c>
    </row>
    <row r="469" spans="1:3" x14ac:dyDescent="0.3">
      <c r="A469" t="s">
        <v>1109</v>
      </c>
      <c r="B469" s="178" t="s">
        <v>711</v>
      </c>
      <c r="C469" s="178">
        <v>100000</v>
      </c>
    </row>
    <row r="470" spans="1:3" x14ac:dyDescent="0.3">
      <c r="A470" t="s">
        <v>1281</v>
      </c>
      <c r="B470" s="178" t="s">
        <v>711</v>
      </c>
      <c r="C470" s="178">
        <v>16200</v>
      </c>
    </row>
    <row r="471" spans="1:3" x14ac:dyDescent="0.3">
      <c r="A471" t="s">
        <v>1282</v>
      </c>
      <c r="B471" s="178" t="s">
        <v>711</v>
      </c>
      <c r="C471" s="178">
        <v>54000</v>
      </c>
    </row>
    <row r="472" spans="1:3" x14ac:dyDescent="0.3">
      <c r="A472" t="s">
        <v>1231</v>
      </c>
      <c r="B472" s="178" t="s">
        <v>711</v>
      </c>
      <c r="C472" s="178">
        <v>110700</v>
      </c>
    </row>
    <row r="473" spans="1:3" x14ac:dyDescent="0.3">
      <c r="A473" t="s">
        <v>1110</v>
      </c>
      <c r="B473" s="178" t="s">
        <v>711</v>
      </c>
      <c r="C473" s="178">
        <v>795334</v>
      </c>
    </row>
    <row r="474" spans="1:3" x14ac:dyDescent="0.3">
      <c r="A474" t="s">
        <v>1111</v>
      </c>
      <c r="B474" s="178" t="s">
        <v>711</v>
      </c>
      <c r="C474" s="178">
        <v>84839</v>
      </c>
    </row>
    <row r="475" spans="1:3" x14ac:dyDescent="0.3">
      <c r="A475" t="s">
        <v>1112</v>
      </c>
      <c r="B475" s="178">
        <v>8310</v>
      </c>
      <c r="C475" s="178" t="s">
        <v>711</v>
      </c>
    </row>
    <row r="476" spans="1:3" x14ac:dyDescent="0.3">
      <c r="A476" t="s">
        <v>1232</v>
      </c>
      <c r="B476" s="178" t="s">
        <v>711</v>
      </c>
      <c r="C476" s="178">
        <v>179280</v>
      </c>
    </row>
    <row r="477" spans="1:3" x14ac:dyDescent="0.3">
      <c r="A477" t="s">
        <v>1113</v>
      </c>
      <c r="B477" s="178" t="s">
        <v>711</v>
      </c>
      <c r="C477" s="178" t="s">
        <v>711</v>
      </c>
    </row>
    <row r="478" spans="1:3" x14ac:dyDescent="0.3">
      <c r="A478" t="s">
        <v>1114</v>
      </c>
      <c r="B478" s="178" t="s">
        <v>711</v>
      </c>
      <c r="C478" s="178">
        <v>50</v>
      </c>
    </row>
    <row r="479" spans="1:3" x14ac:dyDescent="0.3">
      <c r="A479" t="s">
        <v>1115</v>
      </c>
      <c r="B479" s="178">
        <v>1829</v>
      </c>
      <c r="C479" s="178" t="s">
        <v>711</v>
      </c>
    </row>
    <row r="480" spans="1:3" x14ac:dyDescent="0.3">
      <c r="A480" t="s">
        <v>1116</v>
      </c>
      <c r="B480" s="178">
        <v>64519</v>
      </c>
      <c r="C480" s="178" t="s">
        <v>711</v>
      </c>
    </row>
    <row r="481" spans="1:3" x14ac:dyDescent="0.3">
      <c r="A481" t="s">
        <v>1117</v>
      </c>
      <c r="B481" s="178" t="s">
        <v>711</v>
      </c>
      <c r="C481" s="178">
        <v>75570</v>
      </c>
    </row>
    <row r="482" spans="1:3" x14ac:dyDescent="0.3">
      <c r="A482" t="s">
        <v>1118</v>
      </c>
      <c r="B482" s="178" t="s">
        <v>711</v>
      </c>
      <c r="C482" s="178">
        <v>21033</v>
      </c>
    </row>
    <row r="483" spans="1:3" x14ac:dyDescent="0.3">
      <c r="A483" t="s">
        <v>1119</v>
      </c>
      <c r="B483" s="178" t="s">
        <v>711</v>
      </c>
      <c r="C483" s="178">
        <v>8693.7999999999993</v>
      </c>
    </row>
    <row r="484" spans="1:3" x14ac:dyDescent="0.3">
      <c r="A484" t="s">
        <v>1120</v>
      </c>
      <c r="B484" s="178" t="s">
        <v>711</v>
      </c>
      <c r="C484" s="178">
        <v>413.18</v>
      </c>
    </row>
    <row r="485" spans="1:3" x14ac:dyDescent="0.3">
      <c r="A485" t="s">
        <v>1283</v>
      </c>
      <c r="B485" s="178" t="s">
        <v>711</v>
      </c>
      <c r="C485" s="178">
        <v>850</v>
      </c>
    </row>
    <row r="486" spans="1:3" x14ac:dyDescent="0.3">
      <c r="A486" t="s">
        <v>1121</v>
      </c>
      <c r="B486" s="178">
        <v>11</v>
      </c>
      <c r="C486" s="178" t="s">
        <v>711</v>
      </c>
    </row>
    <row r="487" spans="1:3" x14ac:dyDescent="0.3">
      <c r="A487" t="s">
        <v>1122</v>
      </c>
      <c r="B487" s="178" t="s">
        <v>711</v>
      </c>
      <c r="C487" s="178">
        <v>6650.12</v>
      </c>
    </row>
    <row r="488" spans="1:3" x14ac:dyDescent="0.3">
      <c r="A488" t="s">
        <v>1123</v>
      </c>
      <c r="B488" s="178" t="s">
        <v>711</v>
      </c>
      <c r="C488" s="178">
        <v>42958</v>
      </c>
    </row>
    <row r="489" spans="1:3" x14ac:dyDescent="0.3">
      <c r="A489" t="s">
        <v>1124</v>
      </c>
      <c r="B489" s="178">
        <v>135250</v>
      </c>
      <c r="C489" s="178" t="s">
        <v>711</v>
      </c>
    </row>
    <row r="490" spans="1:3" x14ac:dyDescent="0.3">
      <c r="A490" t="s">
        <v>1125</v>
      </c>
      <c r="B490" s="178" t="s">
        <v>711</v>
      </c>
      <c r="C490" s="178">
        <v>6050</v>
      </c>
    </row>
    <row r="491" spans="1:3" x14ac:dyDescent="0.3">
      <c r="A491" t="s">
        <v>1126</v>
      </c>
      <c r="B491" s="178">
        <v>3125</v>
      </c>
      <c r="C491" s="178" t="s">
        <v>711</v>
      </c>
    </row>
    <row r="492" spans="1:3" x14ac:dyDescent="0.3">
      <c r="A492" t="s">
        <v>1127</v>
      </c>
      <c r="B492" s="178">
        <v>84940</v>
      </c>
      <c r="C492" s="178" t="s">
        <v>711</v>
      </c>
    </row>
    <row r="493" spans="1:3" x14ac:dyDescent="0.3">
      <c r="A493" t="s">
        <v>1128</v>
      </c>
      <c r="B493" s="178" t="s">
        <v>711</v>
      </c>
      <c r="C493" s="178">
        <v>1269864.74</v>
      </c>
    </row>
    <row r="494" spans="1:3" x14ac:dyDescent="0.3">
      <c r="A494" t="s">
        <v>1129</v>
      </c>
      <c r="B494" s="178">
        <v>7821102</v>
      </c>
      <c r="C494" s="178" t="s">
        <v>711</v>
      </c>
    </row>
    <row r="495" spans="1:3" x14ac:dyDescent="0.3">
      <c r="A495" t="s">
        <v>1284</v>
      </c>
      <c r="B495" s="178">
        <v>11980</v>
      </c>
      <c r="C495" s="178" t="s">
        <v>711</v>
      </c>
    </row>
    <row r="496" spans="1:3" x14ac:dyDescent="0.3">
      <c r="A496" t="s">
        <v>1130</v>
      </c>
      <c r="B496" s="178" t="s">
        <v>711</v>
      </c>
      <c r="C496" s="178">
        <v>303413</v>
      </c>
    </row>
    <row r="497" spans="1:3" x14ac:dyDescent="0.3">
      <c r="A497" t="s">
        <v>1131</v>
      </c>
      <c r="B497" s="178">
        <v>139200</v>
      </c>
      <c r="C497" s="178" t="s">
        <v>711</v>
      </c>
    </row>
    <row r="498" spans="1:3" x14ac:dyDescent="0.3">
      <c r="A498" t="s">
        <v>1132</v>
      </c>
      <c r="B498" s="178">
        <v>55996</v>
      </c>
      <c r="C498" s="178" t="s">
        <v>711</v>
      </c>
    </row>
    <row r="499" spans="1:3" x14ac:dyDescent="0.3">
      <c r="A499" t="s">
        <v>1285</v>
      </c>
      <c r="B499" s="178">
        <v>6561</v>
      </c>
      <c r="C499" s="178" t="s">
        <v>711</v>
      </c>
    </row>
    <row r="500" spans="1:3" x14ac:dyDescent="0.3">
      <c r="A500" t="s">
        <v>1286</v>
      </c>
      <c r="B500" s="178">
        <v>0.4</v>
      </c>
      <c r="C500" s="178" t="s">
        <v>711</v>
      </c>
    </row>
    <row r="501" spans="1:3" x14ac:dyDescent="0.3">
      <c r="A501" t="s">
        <v>1133</v>
      </c>
      <c r="B501" s="178">
        <v>40999</v>
      </c>
      <c r="C501" s="178" t="s">
        <v>711</v>
      </c>
    </row>
    <row r="502" spans="1:3" x14ac:dyDescent="0.3">
      <c r="A502" t="s">
        <v>1233</v>
      </c>
      <c r="B502" s="178" t="s">
        <v>711</v>
      </c>
      <c r="C502" s="178">
        <v>12017</v>
      </c>
    </row>
    <row r="503" spans="1:3" x14ac:dyDescent="0.3">
      <c r="A503" t="s">
        <v>1134</v>
      </c>
      <c r="B503" s="178">
        <v>233791.8</v>
      </c>
      <c r="C503" s="178" t="s">
        <v>711</v>
      </c>
    </row>
    <row r="504" spans="1:3" x14ac:dyDescent="0.3">
      <c r="A504" t="s">
        <v>1135</v>
      </c>
      <c r="B504" s="178">
        <v>469696.18</v>
      </c>
      <c r="C504" s="178" t="s">
        <v>711</v>
      </c>
    </row>
    <row r="505" spans="1:3" x14ac:dyDescent="0.3">
      <c r="A505" t="s">
        <v>1136</v>
      </c>
      <c r="B505" s="178">
        <v>262069</v>
      </c>
      <c r="C505" s="178" t="s">
        <v>711</v>
      </c>
    </row>
    <row r="506" spans="1:3" x14ac:dyDescent="0.3">
      <c r="A506" t="s">
        <v>1137</v>
      </c>
      <c r="B506" s="178">
        <v>50000</v>
      </c>
      <c r="C506" s="178" t="s">
        <v>711</v>
      </c>
    </row>
    <row r="507" spans="1:3" x14ac:dyDescent="0.3">
      <c r="A507" t="s">
        <v>1138</v>
      </c>
      <c r="B507" s="178" t="s">
        <v>711</v>
      </c>
      <c r="C507" s="178">
        <v>1046</v>
      </c>
    </row>
    <row r="508" spans="1:3" x14ac:dyDescent="0.3">
      <c r="A508" t="s">
        <v>1139</v>
      </c>
      <c r="B508" s="178" t="s">
        <v>711</v>
      </c>
      <c r="C508" s="178">
        <v>9869542</v>
      </c>
    </row>
    <row r="509" spans="1:3" x14ac:dyDescent="0.3">
      <c r="A509" t="s">
        <v>1140</v>
      </c>
      <c r="B509" s="178">
        <v>28158</v>
      </c>
      <c r="C509" s="178" t="s">
        <v>711</v>
      </c>
    </row>
    <row r="510" spans="1:3" x14ac:dyDescent="0.3">
      <c r="A510" t="s">
        <v>1141</v>
      </c>
      <c r="B510" s="178" t="s">
        <v>711</v>
      </c>
      <c r="C510" s="178">
        <v>3865</v>
      </c>
    </row>
    <row r="511" spans="1:3" x14ac:dyDescent="0.3">
      <c r="A511" t="s">
        <v>1142</v>
      </c>
      <c r="B511" s="178" t="s">
        <v>711</v>
      </c>
      <c r="C511" s="178">
        <v>12592.3</v>
      </c>
    </row>
    <row r="512" spans="1:3" x14ac:dyDescent="0.3">
      <c r="A512" t="s">
        <v>1143</v>
      </c>
      <c r="B512" s="178" t="s">
        <v>711</v>
      </c>
      <c r="C512" s="178">
        <v>1531</v>
      </c>
    </row>
    <row r="513" spans="1:3" x14ac:dyDescent="0.3">
      <c r="A513" t="s">
        <v>1145</v>
      </c>
      <c r="B513" s="178">
        <v>59892854</v>
      </c>
      <c r="C513" s="178" t="s">
        <v>711</v>
      </c>
    </row>
    <row r="514" spans="1:3" x14ac:dyDescent="0.3">
      <c r="A514" t="s">
        <v>1146</v>
      </c>
      <c r="B514" s="276">
        <v>419405</v>
      </c>
      <c r="C514" s="178" t="s">
        <v>711</v>
      </c>
    </row>
    <row r="515" spans="1:3" x14ac:dyDescent="0.3">
      <c r="A515" t="s">
        <v>1147</v>
      </c>
      <c r="B515" s="276">
        <v>22354692</v>
      </c>
      <c r="C515" s="178" t="s">
        <v>711</v>
      </c>
    </row>
    <row r="516" spans="1:3" x14ac:dyDescent="0.3">
      <c r="A516" t="s">
        <v>1263</v>
      </c>
      <c r="B516" s="276">
        <v>469239</v>
      </c>
      <c r="C516" s="178" t="s">
        <v>711</v>
      </c>
    </row>
    <row r="517" spans="1:3" x14ac:dyDescent="0.3">
      <c r="A517" t="s">
        <v>1148</v>
      </c>
      <c r="B517" s="276">
        <v>446915</v>
      </c>
      <c r="C517" s="178" t="s">
        <v>711</v>
      </c>
    </row>
    <row r="518" spans="1:3" x14ac:dyDescent="0.3">
      <c r="A518" t="s">
        <v>1149</v>
      </c>
      <c r="B518" s="276">
        <v>4477013</v>
      </c>
      <c r="C518" s="178" t="s">
        <v>711</v>
      </c>
    </row>
    <row r="519" spans="1:3" x14ac:dyDescent="0.3">
      <c r="A519" t="s">
        <v>1150</v>
      </c>
      <c r="B519" s="276">
        <v>5194965</v>
      </c>
      <c r="C519" s="178" t="s">
        <v>711</v>
      </c>
    </row>
    <row r="520" spans="1:3" x14ac:dyDescent="0.3">
      <c r="A520" t="s">
        <v>1151</v>
      </c>
      <c r="B520" s="276">
        <v>2498753</v>
      </c>
      <c r="C520" s="178" t="s">
        <v>711</v>
      </c>
    </row>
    <row r="521" spans="1:3" x14ac:dyDescent="0.3">
      <c r="A521" t="s">
        <v>1152</v>
      </c>
      <c r="B521" s="276">
        <v>10564330</v>
      </c>
      <c r="C521" s="178" t="s">
        <v>711</v>
      </c>
    </row>
    <row r="522" spans="1:3" x14ac:dyDescent="0.3">
      <c r="A522" t="s">
        <v>1153</v>
      </c>
      <c r="B522" s="276">
        <v>1822863</v>
      </c>
      <c r="C522" s="178" t="s">
        <v>711</v>
      </c>
    </row>
    <row r="523" spans="1:3" x14ac:dyDescent="0.3">
      <c r="A523" t="s">
        <v>1154</v>
      </c>
      <c r="B523" s="276">
        <v>6717576</v>
      </c>
      <c r="C523" s="178" t="s">
        <v>711</v>
      </c>
    </row>
    <row r="524" spans="1:3" x14ac:dyDescent="0.3">
      <c r="A524" t="s">
        <v>1155</v>
      </c>
      <c r="B524" s="276">
        <v>4905501</v>
      </c>
      <c r="C524" s="178" t="s">
        <v>711</v>
      </c>
    </row>
    <row r="525" spans="1:3" x14ac:dyDescent="0.3">
      <c r="A525" t="s">
        <v>1156</v>
      </c>
      <c r="B525" s="178">
        <v>34293458.659999996</v>
      </c>
      <c r="C525" s="178" t="s">
        <v>711</v>
      </c>
    </row>
    <row r="526" spans="1:3" x14ac:dyDescent="0.3">
      <c r="A526" t="s">
        <v>1157</v>
      </c>
      <c r="B526" s="276">
        <v>13111402</v>
      </c>
      <c r="C526" s="178" t="s">
        <v>711</v>
      </c>
    </row>
    <row r="527" spans="1:3" x14ac:dyDescent="0.3">
      <c r="A527" t="s">
        <v>1158</v>
      </c>
      <c r="B527" s="276">
        <v>8645162</v>
      </c>
      <c r="C527" s="178" t="s">
        <v>711</v>
      </c>
    </row>
    <row r="528" spans="1:3" x14ac:dyDescent="0.3">
      <c r="A528" t="s">
        <v>1159</v>
      </c>
      <c r="B528" s="178" t="s">
        <v>711</v>
      </c>
      <c r="C528" s="178" t="s">
        <v>711</v>
      </c>
    </row>
    <row r="529" spans="1:3" x14ac:dyDescent="0.3">
      <c r="A529" t="s">
        <v>1160</v>
      </c>
      <c r="B529" s="276">
        <v>667219.96</v>
      </c>
      <c r="C529" s="178" t="s">
        <v>711</v>
      </c>
    </row>
    <row r="530" spans="1:3" x14ac:dyDescent="0.3">
      <c r="A530" t="s">
        <v>1161</v>
      </c>
      <c r="B530" s="276">
        <v>449691</v>
      </c>
      <c r="C530" s="178" t="s">
        <v>711</v>
      </c>
    </row>
    <row r="531" spans="1:3" x14ac:dyDescent="0.3">
      <c r="A531" t="s">
        <v>1162</v>
      </c>
      <c r="B531" s="276">
        <v>29150</v>
      </c>
      <c r="C531" s="178" t="s">
        <v>711</v>
      </c>
    </row>
    <row r="532" spans="1:3" x14ac:dyDescent="0.3">
      <c r="A532" t="s">
        <v>1163</v>
      </c>
      <c r="B532" s="178">
        <v>599550</v>
      </c>
      <c r="C532" s="178" t="s">
        <v>711</v>
      </c>
    </row>
    <row r="533" spans="1:3" x14ac:dyDescent="0.3">
      <c r="A533" t="s">
        <v>1164</v>
      </c>
      <c r="B533" s="276">
        <v>11400</v>
      </c>
      <c r="C533" s="178" t="s">
        <v>711</v>
      </c>
    </row>
    <row r="534" spans="1:3" x14ac:dyDescent="0.3">
      <c r="A534" t="s">
        <v>1165</v>
      </c>
      <c r="B534" s="276">
        <v>101201</v>
      </c>
      <c r="C534" s="178" t="s">
        <v>711</v>
      </c>
    </row>
    <row r="535" spans="1:3" x14ac:dyDescent="0.3">
      <c r="A535" t="s">
        <v>1166</v>
      </c>
      <c r="B535" s="276">
        <v>6127725.2800000003</v>
      </c>
      <c r="C535" s="178" t="s">
        <v>711</v>
      </c>
    </row>
    <row r="536" spans="1:3" x14ac:dyDescent="0.3">
      <c r="A536" t="s">
        <v>1234</v>
      </c>
      <c r="B536" s="276">
        <v>45968</v>
      </c>
      <c r="C536" s="178" t="s">
        <v>711</v>
      </c>
    </row>
    <row r="537" spans="1:3" x14ac:dyDescent="0.3">
      <c r="A537" t="s">
        <v>1167</v>
      </c>
      <c r="B537" s="276">
        <v>400724</v>
      </c>
      <c r="C537" s="178" t="s">
        <v>711</v>
      </c>
    </row>
    <row r="538" spans="1:3" x14ac:dyDescent="0.3">
      <c r="A538" t="s">
        <v>1168</v>
      </c>
      <c r="B538" s="276">
        <v>1914184.1</v>
      </c>
      <c r="C538" s="178" t="s">
        <v>711</v>
      </c>
    </row>
    <row r="539" spans="1:3" x14ac:dyDescent="0.3">
      <c r="A539" t="s">
        <v>1169</v>
      </c>
      <c r="B539" s="276">
        <v>2190081.3199999998</v>
      </c>
      <c r="C539" s="178" t="s">
        <v>711</v>
      </c>
    </row>
    <row r="540" spans="1:3" x14ac:dyDescent="0.3">
      <c r="A540" t="s">
        <v>1235</v>
      </c>
      <c r="B540" s="178">
        <v>6382864.2999999998</v>
      </c>
      <c r="C540" s="178" t="s">
        <v>711</v>
      </c>
    </row>
    <row r="541" spans="1:3" x14ac:dyDescent="0.3">
      <c r="A541" t="s">
        <v>1236</v>
      </c>
      <c r="B541" s="276">
        <v>123370.96</v>
      </c>
      <c r="C541" s="178" t="s">
        <v>711</v>
      </c>
    </row>
    <row r="542" spans="1:3" x14ac:dyDescent="0.3">
      <c r="A542" t="s">
        <v>1237</v>
      </c>
      <c r="B542" s="276">
        <v>131414</v>
      </c>
      <c r="C542" s="178" t="s">
        <v>711</v>
      </c>
    </row>
    <row r="543" spans="1:3" x14ac:dyDescent="0.3">
      <c r="A543" t="s">
        <v>1238</v>
      </c>
      <c r="B543" s="276">
        <v>194812</v>
      </c>
      <c r="C543" s="178" t="s">
        <v>711</v>
      </c>
    </row>
    <row r="544" spans="1:3" x14ac:dyDescent="0.3">
      <c r="A544" t="s">
        <v>1239</v>
      </c>
      <c r="B544" s="276">
        <v>80267.47</v>
      </c>
      <c r="C544" s="178" t="s">
        <v>711</v>
      </c>
    </row>
    <row r="545" spans="1:3" x14ac:dyDescent="0.3">
      <c r="A545" t="s">
        <v>1240</v>
      </c>
      <c r="B545" s="276">
        <v>685754.72</v>
      </c>
      <c r="C545" s="178" t="s">
        <v>711</v>
      </c>
    </row>
    <row r="546" spans="1:3" x14ac:dyDescent="0.3">
      <c r="A546" t="s">
        <v>1241</v>
      </c>
      <c r="B546" s="276">
        <v>458378</v>
      </c>
      <c r="C546" s="178" t="s">
        <v>711</v>
      </c>
    </row>
    <row r="547" spans="1:3" x14ac:dyDescent="0.3">
      <c r="A547" t="s">
        <v>1242</v>
      </c>
      <c r="B547" s="276">
        <v>3431417</v>
      </c>
      <c r="C547" s="178" t="s">
        <v>711</v>
      </c>
    </row>
    <row r="548" spans="1:3" x14ac:dyDescent="0.3">
      <c r="A548" t="s">
        <v>1243</v>
      </c>
      <c r="B548" s="276">
        <v>320358</v>
      </c>
      <c r="C548" s="178" t="s">
        <v>711</v>
      </c>
    </row>
    <row r="549" spans="1:3" x14ac:dyDescent="0.3">
      <c r="A549" t="s">
        <v>1244</v>
      </c>
      <c r="B549" s="276">
        <v>104687</v>
      </c>
      <c r="C549" s="178" t="s">
        <v>711</v>
      </c>
    </row>
    <row r="550" spans="1:3" x14ac:dyDescent="0.3">
      <c r="A550" t="s">
        <v>1310</v>
      </c>
      <c r="B550" s="276">
        <v>200000</v>
      </c>
      <c r="C550" s="178" t="s">
        <v>711</v>
      </c>
    </row>
    <row r="551" spans="1:3" x14ac:dyDescent="0.3">
      <c r="A551" t="s">
        <v>1245</v>
      </c>
      <c r="B551" s="276">
        <v>98353</v>
      </c>
      <c r="C551" s="178" t="s">
        <v>711</v>
      </c>
    </row>
    <row r="552" spans="1:3" x14ac:dyDescent="0.3">
      <c r="A552" t="s">
        <v>1246</v>
      </c>
      <c r="B552" s="276">
        <v>32632</v>
      </c>
      <c r="C552" s="178" t="s">
        <v>711</v>
      </c>
    </row>
    <row r="553" spans="1:3" x14ac:dyDescent="0.3">
      <c r="A553" t="s">
        <v>1247</v>
      </c>
      <c r="B553" s="276">
        <v>53100</v>
      </c>
      <c r="C553" s="178" t="s">
        <v>711</v>
      </c>
    </row>
    <row r="554" spans="1:3" x14ac:dyDescent="0.3">
      <c r="A554" t="s">
        <v>1248</v>
      </c>
      <c r="B554" s="276">
        <v>59645.8</v>
      </c>
      <c r="C554" s="178" t="s">
        <v>711</v>
      </c>
    </row>
    <row r="555" spans="1:3" x14ac:dyDescent="0.3">
      <c r="A555" t="s">
        <v>1249</v>
      </c>
      <c r="B555" s="276">
        <v>17580</v>
      </c>
      <c r="C555" s="178" t="s">
        <v>711</v>
      </c>
    </row>
    <row r="556" spans="1:3" x14ac:dyDescent="0.3">
      <c r="A556" t="s">
        <v>1250</v>
      </c>
      <c r="B556" s="178" t="s">
        <v>711</v>
      </c>
      <c r="C556" s="178">
        <v>623294.25</v>
      </c>
    </row>
    <row r="557" spans="1:3" x14ac:dyDescent="0.3">
      <c r="A557" t="s">
        <v>1251</v>
      </c>
      <c r="B557" s="276">
        <v>103515</v>
      </c>
      <c r="C557" s="178" t="s">
        <v>711</v>
      </c>
    </row>
    <row r="558" spans="1:3" x14ac:dyDescent="0.3">
      <c r="A558" t="s">
        <v>1252</v>
      </c>
      <c r="B558" s="276">
        <v>910873.59999999998</v>
      </c>
      <c r="C558" s="178" t="s">
        <v>711</v>
      </c>
    </row>
    <row r="559" spans="1:3" x14ac:dyDescent="0.3">
      <c r="A559" t="s">
        <v>1253</v>
      </c>
      <c r="B559" s="178">
        <v>3761803</v>
      </c>
      <c r="C559" s="178" t="s">
        <v>711</v>
      </c>
    </row>
    <row r="560" spans="1:3" x14ac:dyDescent="0.3">
      <c r="A560" t="s">
        <v>1254</v>
      </c>
      <c r="B560" s="276">
        <v>9202</v>
      </c>
      <c r="C560" s="178" t="s">
        <v>711</v>
      </c>
    </row>
    <row r="561" spans="1:3" x14ac:dyDescent="0.3">
      <c r="A561" t="s">
        <v>1255</v>
      </c>
      <c r="B561" s="276">
        <v>2467834</v>
      </c>
      <c r="C561" s="178" t="s">
        <v>711</v>
      </c>
    </row>
    <row r="562" spans="1:3" x14ac:dyDescent="0.3">
      <c r="A562" t="s">
        <v>1256</v>
      </c>
      <c r="B562" s="276">
        <v>1284767</v>
      </c>
      <c r="C562" s="178" t="s">
        <v>711</v>
      </c>
    </row>
    <row r="563" spans="1:3" x14ac:dyDescent="0.3">
      <c r="A563" t="s">
        <v>1257</v>
      </c>
      <c r="B563" s="178">
        <v>2785535.73</v>
      </c>
      <c r="C563" s="178" t="s">
        <v>711</v>
      </c>
    </row>
    <row r="564" spans="1:3" x14ac:dyDescent="0.3">
      <c r="A564" t="s">
        <v>1258</v>
      </c>
      <c r="B564" s="276">
        <v>1079953</v>
      </c>
      <c r="C564" s="178" t="s">
        <v>711</v>
      </c>
    </row>
    <row r="565" spans="1:3" x14ac:dyDescent="0.3">
      <c r="A565" t="s">
        <v>1311</v>
      </c>
      <c r="B565" s="178" t="s">
        <v>711</v>
      </c>
      <c r="C565" s="178">
        <v>159856</v>
      </c>
    </row>
    <row r="566" spans="1:3" x14ac:dyDescent="0.3">
      <c r="A566" t="s">
        <v>1312</v>
      </c>
      <c r="B566" s="276">
        <v>1731316.7</v>
      </c>
      <c r="C566" s="178" t="s">
        <v>711</v>
      </c>
    </row>
    <row r="567" spans="1:3" x14ac:dyDescent="0.3">
      <c r="A567" t="s">
        <v>1313</v>
      </c>
      <c r="B567" s="276">
        <v>134122.03</v>
      </c>
      <c r="C567" s="178" t="s">
        <v>711</v>
      </c>
    </row>
    <row r="568" spans="1:3" x14ac:dyDescent="0.3">
      <c r="A568" s="272" t="s">
        <v>1170</v>
      </c>
      <c r="B568" s="178">
        <v>874777134.03999996</v>
      </c>
      <c r="C568" s="178">
        <v>874777134.04999995</v>
      </c>
    </row>
    <row r="569" spans="1:3" x14ac:dyDescent="0.3">
      <c r="A569" s="272"/>
    </row>
    <row r="570" spans="1:3" x14ac:dyDescent="0.3">
      <c r="A570" s="272"/>
    </row>
    <row r="571" spans="1:3" x14ac:dyDescent="0.3">
      <c r="A571" s="272"/>
    </row>
    <row r="572" spans="1:3" x14ac:dyDescent="0.3">
      <c r="A572" s="272"/>
    </row>
    <row r="573" spans="1:3" x14ac:dyDescent="0.3">
      <c r="A573" s="272"/>
    </row>
    <row r="574" spans="1:3" x14ac:dyDescent="0.3">
      <c r="A574" s="272"/>
    </row>
    <row r="575" spans="1:3" x14ac:dyDescent="0.3">
      <c r="A575" s="272"/>
    </row>
    <row r="576" spans="1:3" x14ac:dyDescent="0.3">
      <c r="A576" s="272"/>
    </row>
    <row r="577" spans="1:1" x14ac:dyDescent="0.3">
      <c r="A577" s="248"/>
    </row>
    <row r="578" spans="1:1" x14ac:dyDescent="0.3">
      <c r="A578" s="248"/>
    </row>
    <row r="579" spans="1:1" x14ac:dyDescent="0.3">
      <c r="A579" s="248"/>
    </row>
    <row r="580" spans="1:1" x14ac:dyDescent="0.3">
      <c r="A580" s="248"/>
    </row>
    <row r="581" spans="1:1" x14ac:dyDescent="0.3">
      <c r="A581" s="248"/>
    </row>
    <row r="582" spans="1:1" x14ac:dyDescent="0.3">
      <c r="A582" s="248"/>
    </row>
    <row r="583" spans="1:1" x14ac:dyDescent="0.3">
      <c r="A583" s="248"/>
    </row>
    <row r="584" spans="1:1" x14ac:dyDescent="0.3">
      <c r="A584" s="248"/>
    </row>
    <row r="585" spans="1:1" x14ac:dyDescent="0.3">
      <c r="A585" s="248"/>
    </row>
    <row r="586" spans="1:1" x14ac:dyDescent="0.3">
      <c r="A586" s="248"/>
    </row>
    <row r="587" spans="1:1" x14ac:dyDescent="0.3">
      <c r="A587" s="248"/>
    </row>
    <row r="588" spans="1:1" x14ac:dyDescent="0.3">
      <c r="A588" s="248"/>
    </row>
    <row r="589" spans="1:1" x14ac:dyDescent="0.3">
      <c r="A589" s="248"/>
    </row>
    <row r="590" spans="1:1" x14ac:dyDescent="0.3">
      <c r="A590" s="248"/>
    </row>
    <row r="591" spans="1:1" x14ac:dyDescent="0.3">
      <c r="A591" s="248"/>
    </row>
    <row r="592" spans="1:1" x14ac:dyDescent="0.3">
      <c r="A592" s="248"/>
    </row>
    <row r="593" spans="1:1" x14ac:dyDescent="0.3">
      <c r="A593" s="248"/>
    </row>
    <row r="594" spans="1:1" x14ac:dyDescent="0.3">
      <c r="A594" s="248"/>
    </row>
    <row r="595" spans="1:1" x14ac:dyDescent="0.3">
      <c r="A595" s="248"/>
    </row>
    <row r="596" spans="1:1" x14ac:dyDescent="0.3">
      <c r="A596" s="248"/>
    </row>
    <row r="597" spans="1:1" x14ac:dyDescent="0.3">
      <c r="A597" s="248"/>
    </row>
    <row r="598" spans="1:1" x14ac:dyDescent="0.3">
      <c r="A598" s="248"/>
    </row>
    <row r="599" spans="1:1" x14ac:dyDescent="0.3">
      <c r="A599" s="248"/>
    </row>
    <row r="600" spans="1:1" x14ac:dyDescent="0.3">
      <c r="A600" s="248"/>
    </row>
    <row r="601" spans="1:1" x14ac:dyDescent="0.3">
      <c r="A601" s="248"/>
    </row>
    <row r="602" spans="1:1" x14ac:dyDescent="0.3">
      <c r="A602" s="248"/>
    </row>
    <row r="603" spans="1:1" x14ac:dyDescent="0.3">
      <c r="A603" s="248"/>
    </row>
    <row r="604" spans="1:1" x14ac:dyDescent="0.3">
      <c r="A604" s="248"/>
    </row>
    <row r="605" spans="1:1" x14ac:dyDescent="0.3">
      <c r="A605" s="248"/>
    </row>
    <row r="606" spans="1:1" x14ac:dyDescent="0.3">
      <c r="A606" s="248"/>
    </row>
    <row r="607" spans="1:1" x14ac:dyDescent="0.3">
      <c r="A607" s="248"/>
    </row>
    <row r="608" spans="1:1" x14ac:dyDescent="0.3">
      <c r="A608" s="248"/>
    </row>
    <row r="609" spans="1:1" x14ac:dyDescent="0.3">
      <c r="A609" s="248"/>
    </row>
    <row r="610" spans="1:1" x14ac:dyDescent="0.3">
      <c r="A610" s="248"/>
    </row>
    <row r="611" spans="1:1" x14ac:dyDescent="0.3">
      <c r="A611" s="248"/>
    </row>
    <row r="612" spans="1:1" x14ac:dyDescent="0.3">
      <c r="A612" s="248"/>
    </row>
    <row r="613" spans="1:1" x14ac:dyDescent="0.3">
      <c r="A613" s="248"/>
    </row>
    <row r="614" spans="1:1" x14ac:dyDescent="0.3">
      <c r="A614" s="248"/>
    </row>
    <row r="615" spans="1:1" x14ac:dyDescent="0.3">
      <c r="A615" s="248"/>
    </row>
    <row r="616" spans="1:1" x14ac:dyDescent="0.3">
      <c r="A616" s="248"/>
    </row>
    <row r="617" spans="1:1" x14ac:dyDescent="0.3">
      <c r="A617" s="248"/>
    </row>
    <row r="618" spans="1:1" x14ac:dyDescent="0.3">
      <c r="A618" s="248"/>
    </row>
    <row r="619" spans="1:1" x14ac:dyDescent="0.3">
      <c r="A619" s="248"/>
    </row>
    <row r="620" spans="1:1" x14ac:dyDescent="0.3">
      <c r="A620" s="248"/>
    </row>
    <row r="621" spans="1:1" x14ac:dyDescent="0.3">
      <c r="A621" s="248"/>
    </row>
    <row r="622" spans="1:1" x14ac:dyDescent="0.3">
      <c r="A622" s="248"/>
    </row>
    <row r="623" spans="1:1" x14ac:dyDescent="0.3">
      <c r="A623" s="248"/>
    </row>
    <row r="624" spans="1:1" x14ac:dyDescent="0.3">
      <c r="A624" s="248"/>
    </row>
    <row r="625" spans="1:1" x14ac:dyDescent="0.3">
      <c r="A625" s="248"/>
    </row>
    <row r="626" spans="1:1" x14ac:dyDescent="0.3">
      <c r="A626" s="248"/>
    </row>
    <row r="627" spans="1:1" x14ac:dyDescent="0.3">
      <c r="A627" s="248"/>
    </row>
    <row r="628" spans="1:1" x14ac:dyDescent="0.3">
      <c r="A628" s="248"/>
    </row>
    <row r="629" spans="1:1" x14ac:dyDescent="0.3">
      <c r="A629" s="248"/>
    </row>
    <row r="630" spans="1:1" x14ac:dyDescent="0.3">
      <c r="A630" s="248"/>
    </row>
    <row r="631" spans="1:1" x14ac:dyDescent="0.3">
      <c r="A631" s="248"/>
    </row>
    <row r="632" spans="1:1" x14ac:dyDescent="0.3">
      <c r="A632" s="248"/>
    </row>
    <row r="633" spans="1:1" x14ac:dyDescent="0.3">
      <c r="A633" s="248"/>
    </row>
    <row r="634" spans="1:1" x14ac:dyDescent="0.3">
      <c r="A634" s="248"/>
    </row>
    <row r="635" spans="1:1" x14ac:dyDescent="0.3">
      <c r="A635" s="248"/>
    </row>
    <row r="636" spans="1:1" x14ac:dyDescent="0.3">
      <c r="A636" s="248"/>
    </row>
    <row r="637" spans="1:1" x14ac:dyDescent="0.3">
      <c r="A637" s="248"/>
    </row>
    <row r="638" spans="1:1" x14ac:dyDescent="0.3">
      <c r="A638" s="248"/>
    </row>
    <row r="639" spans="1:1" x14ac:dyDescent="0.3">
      <c r="A639" s="248"/>
    </row>
    <row r="640" spans="1:1" x14ac:dyDescent="0.3">
      <c r="A640" s="248"/>
    </row>
    <row r="641" spans="1:1" x14ac:dyDescent="0.3">
      <c r="A641" s="248"/>
    </row>
    <row r="642" spans="1:1" x14ac:dyDescent="0.3">
      <c r="A642" s="248"/>
    </row>
    <row r="643" spans="1:1" x14ac:dyDescent="0.3">
      <c r="A643" s="248"/>
    </row>
    <row r="644" spans="1:1" x14ac:dyDescent="0.3">
      <c r="A644" s="248"/>
    </row>
    <row r="645" spans="1:1" x14ac:dyDescent="0.3">
      <c r="A645" s="248"/>
    </row>
    <row r="646" spans="1:1" x14ac:dyDescent="0.3">
      <c r="A646" s="248"/>
    </row>
    <row r="647" spans="1:1" x14ac:dyDescent="0.3">
      <c r="A647" s="248"/>
    </row>
    <row r="648" spans="1:1" x14ac:dyDescent="0.3">
      <c r="A648" s="248"/>
    </row>
    <row r="649" spans="1:1" x14ac:dyDescent="0.3">
      <c r="A649" s="248"/>
    </row>
    <row r="650" spans="1:1" x14ac:dyDescent="0.3">
      <c r="A650" s="248"/>
    </row>
    <row r="651" spans="1:1" x14ac:dyDescent="0.3">
      <c r="A651" s="248"/>
    </row>
    <row r="652" spans="1:1" x14ac:dyDescent="0.3">
      <c r="A652" s="248"/>
    </row>
    <row r="653" spans="1:1" x14ac:dyDescent="0.3">
      <c r="A653" s="248"/>
    </row>
    <row r="654" spans="1:1" x14ac:dyDescent="0.3">
      <c r="A654" s="248"/>
    </row>
    <row r="655" spans="1:1" x14ac:dyDescent="0.3">
      <c r="A655" s="248"/>
    </row>
    <row r="656" spans="1:1" x14ac:dyDescent="0.3">
      <c r="A656" s="248"/>
    </row>
    <row r="657" spans="1:1" x14ac:dyDescent="0.3">
      <c r="A657" s="248"/>
    </row>
    <row r="658" spans="1:1" x14ac:dyDescent="0.3">
      <c r="A658" s="248"/>
    </row>
    <row r="659" spans="1:1" x14ac:dyDescent="0.3">
      <c r="A659" s="248"/>
    </row>
    <row r="660" spans="1:1" x14ac:dyDescent="0.3">
      <c r="A660" s="248"/>
    </row>
    <row r="661" spans="1:1" x14ac:dyDescent="0.3">
      <c r="A661" s="248"/>
    </row>
    <row r="662" spans="1:1" x14ac:dyDescent="0.3">
      <c r="A662" s="248"/>
    </row>
    <row r="663" spans="1:1" x14ac:dyDescent="0.3">
      <c r="A663" s="248"/>
    </row>
    <row r="664" spans="1:1" x14ac:dyDescent="0.3">
      <c r="A664" s="248"/>
    </row>
    <row r="665" spans="1:1" x14ac:dyDescent="0.3">
      <c r="A665" s="248"/>
    </row>
    <row r="666" spans="1:1" x14ac:dyDescent="0.3">
      <c r="A666" s="248"/>
    </row>
    <row r="667" spans="1:1" x14ac:dyDescent="0.3">
      <c r="A667" s="248"/>
    </row>
    <row r="668" spans="1:1" x14ac:dyDescent="0.3">
      <c r="A668" s="248"/>
    </row>
    <row r="669" spans="1:1" x14ac:dyDescent="0.3">
      <c r="A669" s="248"/>
    </row>
    <row r="670" spans="1:1" x14ac:dyDescent="0.3">
      <c r="A670" s="248"/>
    </row>
    <row r="671" spans="1:1" x14ac:dyDescent="0.3">
      <c r="A671" s="248"/>
    </row>
    <row r="672" spans="1:1" x14ac:dyDescent="0.3">
      <c r="A672" s="248"/>
    </row>
    <row r="673" spans="1:1" x14ac:dyDescent="0.3">
      <c r="A673" s="248"/>
    </row>
    <row r="674" spans="1:1" x14ac:dyDescent="0.3">
      <c r="A674" s="248"/>
    </row>
    <row r="675" spans="1:1" x14ac:dyDescent="0.3">
      <c r="A675" s="248"/>
    </row>
    <row r="676" spans="1:1" x14ac:dyDescent="0.3">
      <c r="A676" s="248"/>
    </row>
    <row r="677" spans="1:1" x14ac:dyDescent="0.3">
      <c r="A677" s="248"/>
    </row>
    <row r="678" spans="1:1" x14ac:dyDescent="0.3">
      <c r="A678" s="248"/>
    </row>
    <row r="679" spans="1:1" x14ac:dyDescent="0.3">
      <c r="A679" s="248"/>
    </row>
    <row r="680" spans="1:1" x14ac:dyDescent="0.3">
      <c r="A680" s="248"/>
    </row>
    <row r="681" spans="1:1" x14ac:dyDescent="0.3">
      <c r="A681" s="248"/>
    </row>
    <row r="682" spans="1:1" x14ac:dyDescent="0.3">
      <c r="A682" s="248"/>
    </row>
    <row r="683" spans="1:1" x14ac:dyDescent="0.3">
      <c r="A683" s="248"/>
    </row>
    <row r="684" spans="1:1" x14ac:dyDescent="0.3">
      <c r="A684" s="248"/>
    </row>
    <row r="685" spans="1:1" x14ac:dyDescent="0.3">
      <c r="A685" s="248"/>
    </row>
    <row r="686" spans="1:1" x14ac:dyDescent="0.3">
      <c r="A686" s="248"/>
    </row>
    <row r="687" spans="1:1" x14ac:dyDescent="0.3">
      <c r="A687" s="248"/>
    </row>
    <row r="688" spans="1:1" x14ac:dyDescent="0.3">
      <c r="A688" s="248"/>
    </row>
    <row r="689" spans="1:1" x14ac:dyDescent="0.3">
      <c r="A689" s="248"/>
    </row>
    <row r="690" spans="1:1" x14ac:dyDescent="0.3">
      <c r="A690" s="248"/>
    </row>
    <row r="691" spans="1:1" x14ac:dyDescent="0.3">
      <c r="A691" s="248"/>
    </row>
    <row r="692" spans="1:1" x14ac:dyDescent="0.3">
      <c r="A692" s="248"/>
    </row>
    <row r="693" spans="1:1" x14ac:dyDescent="0.3">
      <c r="A693" s="248"/>
    </row>
    <row r="694" spans="1:1" x14ac:dyDescent="0.3">
      <c r="A694" s="248"/>
    </row>
    <row r="695" spans="1:1" x14ac:dyDescent="0.3">
      <c r="A695" s="248"/>
    </row>
    <row r="696" spans="1:1" x14ac:dyDescent="0.3">
      <c r="A696" s="248"/>
    </row>
    <row r="697" spans="1:1" x14ac:dyDescent="0.3">
      <c r="A697" s="248"/>
    </row>
    <row r="698" spans="1:1" x14ac:dyDescent="0.3">
      <c r="A698" s="248"/>
    </row>
    <row r="699" spans="1:1" x14ac:dyDescent="0.3">
      <c r="A699" s="248"/>
    </row>
    <row r="700" spans="1:1" x14ac:dyDescent="0.3">
      <c r="A700" s="248"/>
    </row>
    <row r="701" spans="1:1" x14ac:dyDescent="0.3">
      <c r="A701" s="248"/>
    </row>
    <row r="702" spans="1:1" x14ac:dyDescent="0.3">
      <c r="A702" s="248"/>
    </row>
    <row r="703" spans="1:1" x14ac:dyDescent="0.3">
      <c r="A703" s="248"/>
    </row>
    <row r="704" spans="1:1" x14ac:dyDescent="0.3">
      <c r="A704" s="248"/>
    </row>
    <row r="705" spans="1:1" x14ac:dyDescent="0.3">
      <c r="A705" s="248"/>
    </row>
    <row r="706" spans="1:1" x14ac:dyDescent="0.3">
      <c r="A706" s="248"/>
    </row>
    <row r="707" spans="1:1" x14ac:dyDescent="0.3">
      <c r="A707" s="248"/>
    </row>
    <row r="708" spans="1:1" x14ac:dyDescent="0.3">
      <c r="A708" s="248"/>
    </row>
    <row r="709" spans="1:1" x14ac:dyDescent="0.3">
      <c r="A709" s="248"/>
    </row>
    <row r="710" spans="1:1" x14ac:dyDescent="0.3">
      <c r="A710" s="248"/>
    </row>
    <row r="711" spans="1:1" x14ac:dyDescent="0.3">
      <c r="A711" s="248"/>
    </row>
    <row r="712" spans="1:1" x14ac:dyDescent="0.3">
      <c r="A712" s="248"/>
    </row>
    <row r="713" spans="1:1" x14ac:dyDescent="0.3">
      <c r="A713" s="248"/>
    </row>
    <row r="714" spans="1:1" x14ac:dyDescent="0.3">
      <c r="A714" s="248"/>
    </row>
    <row r="715" spans="1:1" x14ac:dyDescent="0.3">
      <c r="A715" s="248"/>
    </row>
    <row r="716" spans="1:1" x14ac:dyDescent="0.3">
      <c r="A716" s="248"/>
    </row>
    <row r="717" spans="1:1" x14ac:dyDescent="0.3">
      <c r="A717" s="248"/>
    </row>
    <row r="718" spans="1:1" x14ac:dyDescent="0.3">
      <c r="A718" s="248"/>
    </row>
    <row r="719" spans="1:1" x14ac:dyDescent="0.3">
      <c r="A719" s="248"/>
    </row>
    <row r="720" spans="1:1" x14ac:dyDescent="0.3">
      <c r="A720" s="248"/>
    </row>
    <row r="721" spans="1:1" x14ac:dyDescent="0.3">
      <c r="A721" s="248"/>
    </row>
    <row r="722" spans="1:1" x14ac:dyDescent="0.3">
      <c r="A722" s="248"/>
    </row>
    <row r="723" spans="1:1" x14ac:dyDescent="0.3">
      <c r="A723" s="248"/>
    </row>
    <row r="724" spans="1:1" x14ac:dyDescent="0.3">
      <c r="A724" s="248"/>
    </row>
    <row r="725" spans="1:1" x14ac:dyDescent="0.3">
      <c r="A725" s="248"/>
    </row>
    <row r="726" spans="1:1" x14ac:dyDescent="0.3">
      <c r="A726" s="248"/>
    </row>
    <row r="727" spans="1:1" x14ac:dyDescent="0.3">
      <c r="A727" s="248"/>
    </row>
    <row r="728" spans="1:1" x14ac:dyDescent="0.3">
      <c r="A728" s="248"/>
    </row>
    <row r="729" spans="1:1" x14ac:dyDescent="0.3">
      <c r="A729" s="248"/>
    </row>
    <row r="730" spans="1:1" x14ac:dyDescent="0.3">
      <c r="A730" s="248"/>
    </row>
    <row r="731" spans="1:1" x14ac:dyDescent="0.3">
      <c r="A731" s="248"/>
    </row>
    <row r="732" spans="1:1" x14ac:dyDescent="0.3">
      <c r="A732" s="248"/>
    </row>
    <row r="767" spans="1:1" x14ac:dyDescent="0.3">
      <c r="A767" s="88"/>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30"/>
  <sheetViews>
    <sheetView workbookViewId="0">
      <selection activeCell="I15" sqref="I15"/>
    </sheetView>
  </sheetViews>
  <sheetFormatPr defaultColWidth="9.109375" defaultRowHeight="14.4" x14ac:dyDescent="0.3"/>
  <cols>
    <col min="1" max="1" width="24.6640625" bestFit="1" customWidth="1"/>
    <col min="2" max="2" width="14" customWidth="1"/>
    <col min="3" max="3" width="15.33203125" bestFit="1" customWidth="1"/>
    <col min="5" max="5" width="10.5546875" bestFit="1" customWidth="1"/>
  </cols>
  <sheetData>
    <row r="3" spans="1:5" x14ac:dyDescent="0.3">
      <c r="A3" s="1" t="s">
        <v>222</v>
      </c>
    </row>
    <row r="5" spans="1:5" x14ac:dyDescent="0.3">
      <c r="A5" s="230" t="s">
        <v>215</v>
      </c>
      <c r="B5" s="231" t="s">
        <v>507</v>
      </c>
      <c r="C5" s="232" t="s">
        <v>479</v>
      </c>
    </row>
    <row r="6" spans="1:5" x14ac:dyDescent="0.3">
      <c r="A6" s="233" t="s">
        <v>223</v>
      </c>
      <c r="B6" s="234"/>
      <c r="C6" s="235"/>
    </row>
    <row r="7" spans="1:5" x14ac:dyDescent="0.3">
      <c r="A7" s="236" t="s">
        <v>224</v>
      </c>
      <c r="B7" s="237">
        <f>+C11</f>
        <v>1545151</v>
      </c>
      <c r="C7" s="238">
        <v>3712018</v>
      </c>
    </row>
    <row r="8" spans="1:5" x14ac:dyDescent="0.3">
      <c r="A8" s="236" t="s">
        <v>225</v>
      </c>
      <c r="B8" s="237">
        <f>+'Final tb'!B89</f>
        <v>107716392.5</v>
      </c>
      <c r="C8" s="238">
        <v>96165999</v>
      </c>
    </row>
    <row r="9" spans="1:5" x14ac:dyDescent="0.3">
      <c r="A9" s="236" t="s">
        <v>226</v>
      </c>
      <c r="B9" s="237" t="e">
        <f>+'Final tb'!B109+'Final tb'!#REF!</f>
        <v>#REF!</v>
      </c>
      <c r="C9" s="238">
        <v>2183410</v>
      </c>
    </row>
    <row r="10" spans="1:5" x14ac:dyDescent="0.3">
      <c r="A10" s="236"/>
      <c r="B10" s="237" t="e">
        <f>SUM(B7:B9)</f>
        <v>#REF!</v>
      </c>
      <c r="C10" s="238">
        <f>SUM(C7:C9)</f>
        <v>102061427</v>
      </c>
    </row>
    <row r="11" spans="1:5" x14ac:dyDescent="0.3">
      <c r="A11" s="236" t="s">
        <v>227</v>
      </c>
      <c r="B11" s="237">
        <f>+'Final tb'!H14</f>
        <v>6459699</v>
      </c>
      <c r="C11" s="238">
        <v>1545151</v>
      </c>
      <c r="E11" s="237">
        <v>3373909</v>
      </c>
    </row>
    <row r="12" spans="1:5" x14ac:dyDescent="0.3">
      <c r="A12" s="236" t="s">
        <v>228</v>
      </c>
      <c r="B12" s="237" t="e">
        <f>+B10-B11</f>
        <v>#REF!</v>
      </c>
      <c r="C12" s="238">
        <f>+C10-C11</f>
        <v>100516276</v>
      </c>
    </row>
    <row r="13" spans="1:5" x14ac:dyDescent="0.3">
      <c r="A13" s="236"/>
      <c r="B13" s="237"/>
      <c r="C13" s="238"/>
    </row>
    <row r="14" spans="1:5" x14ac:dyDescent="0.3">
      <c r="A14" s="233" t="s">
        <v>229</v>
      </c>
      <c r="B14" s="237"/>
      <c r="C14" s="238"/>
    </row>
    <row r="15" spans="1:5" x14ac:dyDescent="0.3">
      <c r="A15" s="236" t="s">
        <v>224</v>
      </c>
      <c r="B15" s="237">
        <f>+C17</f>
        <v>831696</v>
      </c>
      <c r="C15" s="238">
        <v>4773579</v>
      </c>
    </row>
    <row r="16" spans="1:5" x14ac:dyDescent="0.3">
      <c r="A16" s="236" t="s">
        <v>225</v>
      </c>
      <c r="B16" s="237">
        <f>+'Final tb'!B105</f>
        <v>0</v>
      </c>
      <c r="C16" s="238">
        <v>9931700</v>
      </c>
    </row>
    <row r="17" spans="1:5" x14ac:dyDescent="0.3">
      <c r="A17" s="236" t="s">
        <v>227</v>
      </c>
      <c r="B17" s="237">
        <f>+'Final tb'!H13</f>
        <v>7516800</v>
      </c>
      <c r="C17" s="238">
        <v>831696</v>
      </c>
      <c r="E17" s="237">
        <v>4004827</v>
      </c>
    </row>
    <row r="18" spans="1:5" x14ac:dyDescent="0.3">
      <c r="A18" s="236" t="s">
        <v>231</v>
      </c>
      <c r="B18" s="238">
        <f>+B15+B16-B17</f>
        <v>-6685104</v>
      </c>
      <c r="C18" s="238">
        <f>+C15+C16-C17</f>
        <v>13873583</v>
      </c>
    </row>
    <row r="19" spans="1:5" x14ac:dyDescent="0.3">
      <c r="A19" s="236"/>
      <c r="B19" s="237"/>
      <c r="C19" s="238"/>
    </row>
    <row r="20" spans="1:5" x14ac:dyDescent="0.3">
      <c r="A20" s="233" t="s">
        <v>230</v>
      </c>
      <c r="B20" s="237"/>
      <c r="C20" s="238"/>
    </row>
    <row r="21" spans="1:5" x14ac:dyDescent="0.3">
      <c r="A21" s="236"/>
      <c r="B21" s="237"/>
      <c r="C21" s="238"/>
    </row>
    <row r="22" spans="1:5" x14ac:dyDescent="0.3">
      <c r="A22" s="236" t="s">
        <v>224</v>
      </c>
      <c r="B22" s="237">
        <f>+C24</f>
        <v>270898</v>
      </c>
      <c r="C22" s="238">
        <v>647392</v>
      </c>
    </row>
    <row r="23" spans="1:5" x14ac:dyDescent="0.3">
      <c r="A23" s="236" t="s">
        <v>225</v>
      </c>
      <c r="B23" s="237">
        <f>+'Final tb'!B104</f>
        <v>0</v>
      </c>
      <c r="C23" s="238">
        <v>2990034</v>
      </c>
    </row>
    <row r="24" spans="1:5" x14ac:dyDescent="0.3">
      <c r="A24" s="236" t="s">
        <v>227</v>
      </c>
      <c r="B24" s="237">
        <f>+'Final tb'!H17</f>
        <v>280045</v>
      </c>
      <c r="C24" s="238">
        <v>270898</v>
      </c>
      <c r="E24" s="237">
        <v>489804</v>
      </c>
    </row>
    <row r="25" spans="1:5" x14ac:dyDescent="0.3">
      <c r="A25" s="236"/>
      <c r="B25" s="238">
        <f>+B22+B23-B24</f>
        <v>-9147</v>
      </c>
      <c r="C25" s="238">
        <f>+C22+C23-C24</f>
        <v>3366528</v>
      </c>
    </row>
    <row r="26" spans="1:5" x14ac:dyDescent="0.3">
      <c r="A26" s="236"/>
      <c r="B26" s="237"/>
      <c r="C26" s="239"/>
    </row>
    <row r="27" spans="1:5" x14ac:dyDescent="0.3">
      <c r="A27" s="236" t="s">
        <v>213</v>
      </c>
      <c r="B27" s="237" t="e">
        <f>+B12+B18+B25</f>
        <v>#REF!</v>
      </c>
      <c r="C27" s="238">
        <f>+C12+C18+C25</f>
        <v>117756387</v>
      </c>
    </row>
    <row r="28" spans="1:5" x14ac:dyDescent="0.3">
      <c r="A28" s="236"/>
      <c r="B28" s="234"/>
      <c r="C28" s="239"/>
    </row>
    <row r="29" spans="1:5" x14ac:dyDescent="0.3">
      <c r="A29" s="236"/>
      <c r="B29" s="234"/>
      <c r="C29" s="239"/>
    </row>
    <row r="30" spans="1:5" x14ac:dyDescent="0.3">
      <c r="A30" s="240"/>
      <c r="B30" s="241"/>
      <c r="C30" s="242"/>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7"/>
  <sheetViews>
    <sheetView view="pageBreakPreview" topLeftCell="A128" zoomScaleSheetLayoutView="100" workbookViewId="0">
      <selection activeCell="D146" sqref="D146"/>
    </sheetView>
  </sheetViews>
  <sheetFormatPr defaultColWidth="9.109375" defaultRowHeight="14.4" x14ac:dyDescent="0.3"/>
  <cols>
    <col min="1" max="1" width="59" bestFit="1" customWidth="1"/>
    <col min="2" max="2" width="14.88671875" style="249" bestFit="1" customWidth="1"/>
    <col min="3" max="3" width="9.5546875" style="1" bestFit="1" customWidth="1"/>
    <col min="4" max="4" width="59" style="1" bestFit="1" customWidth="1"/>
    <col min="5" max="7" width="12.109375" style="1" bestFit="1" customWidth="1"/>
    <col min="8" max="8" width="9.109375" style="1"/>
    <col min="9" max="9" width="13.44140625" style="1" bestFit="1" customWidth="1"/>
  </cols>
  <sheetData>
    <row r="1" spans="1:9" x14ac:dyDescent="0.3">
      <c r="G1" s="263"/>
      <c r="I1" s="263"/>
    </row>
    <row r="2" spans="1:9" x14ac:dyDescent="0.3">
      <c r="A2" s="2091" t="s">
        <v>602</v>
      </c>
      <c r="B2" s="2091"/>
      <c r="D2" s="2091"/>
      <c r="E2" s="2091"/>
    </row>
    <row r="3" spans="1:9" x14ac:dyDescent="0.3">
      <c r="A3" s="1" t="s">
        <v>215</v>
      </c>
      <c r="B3" s="262" t="s">
        <v>593</v>
      </c>
      <c r="C3" s="2091" t="s">
        <v>640</v>
      </c>
      <c r="D3" s="2091"/>
      <c r="E3" s="2091"/>
      <c r="I3" s="262"/>
    </row>
    <row r="4" spans="1:9" x14ac:dyDescent="0.3">
      <c r="A4" s="1"/>
      <c r="B4" s="262"/>
      <c r="D4" t="s">
        <v>239</v>
      </c>
      <c r="E4" s="203">
        <v>33122</v>
      </c>
      <c r="I4" s="263"/>
    </row>
    <row r="5" spans="1:9" x14ac:dyDescent="0.3">
      <c r="A5" t="s">
        <v>504</v>
      </c>
      <c r="B5" s="249">
        <v>1</v>
      </c>
      <c r="D5" t="s">
        <v>89</v>
      </c>
      <c r="E5" s="203">
        <v>7744</v>
      </c>
    </row>
    <row r="6" spans="1:9" x14ac:dyDescent="0.3">
      <c r="A6" t="s">
        <v>18</v>
      </c>
      <c r="B6" s="249">
        <v>1</v>
      </c>
      <c r="D6" t="s">
        <v>102</v>
      </c>
      <c r="E6" s="203">
        <v>9</v>
      </c>
      <c r="I6" s="262"/>
    </row>
    <row r="7" spans="1:9" x14ac:dyDescent="0.3">
      <c r="A7" t="s">
        <v>491</v>
      </c>
      <c r="B7" s="249">
        <v>3</v>
      </c>
      <c r="D7" t="s">
        <v>115</v>
      </c>
      <c r="E7" s="203">
        <v>46645</v>
      </c>
    </row>
    <row r="8" spans="1:9" x14ac:dyDescent="0.3">
      <c r="A8" t="s">
        <v>501</v>
      </c>
      <c r="B8" s="249">
        <v>11</v>
      </c>
      <c r="D8" t="s">
        <v>60</v>
      </c>
      <c r="E8" s="203">
        <v>1</v>
      </c>
    </row>
    <row r="9" spans="1:9" x14ac:dyDescent="0.3">
      <c r="A9" t="s">
        <v>66</v>
      </c>
      <c r="B9" s="249">
        <v>45</v>
      </c>
      <c r="D9" t="s">
        <v>86</v>
      </c>
      <c r="E9" s="203">
        <v>121</v>
      </c>
    </row>
    <row r="10" spans="1:9" x14ac:dyDescent="0.3">
      <c r="A10" t="s">
        <v>103</v>
      </c>
      <c r="B10" s="249">
        <v>69</v>
      </c>
      <c r="D10" t="s">
        <v>332</v>
      </c>
      <c r="E10" s="203">
        <v>1</v>
      </c>
    </row>
    <row r="11" spans="1:9" x14ac:dyDescent="0.3">
      <c r="A11" t="s">
        <v>44</v>
      </c>
      <c r="B11" s="249">
        <v>87</v>
      </c>
      <c r="D11" t="s">
        <v>502</v>
      </c>
      <c r="E11" s="203">
        <v>44</v>
      </c>
    </row>
    <row r="12" spans="1:9" x14ac:dyDescent="0.3">
      <c r="A12" t="s">
        <v>107</v>
      </c>
      <c r="B12" s="249">
        <v>88</v>
      </c>
      <c r="D12" t="s">
        <v>98</v>
      </c>
      <c r="E12" s="203">
        <v>5</v>
      </c>
    </row>
    <row r="13" spans="1:9" x14ac:dyDescent="0.3">
      <c r="A13" t="s">
        <v>43</v>
      </c>
      <c r="B13" s="249">
        <v>91</v>
      </c>
      <c r="D13" t="s">
        <v>74</v>
      </c>
      <c r="E13" s="203">
        <v>3087</v>
      </c>
    </row>
    <row r="14" spans="1:9" x14ac:dyDescent="0.3">
      <c r="A14" t="s">
        <v>56</v>
      </c>
      <c r="B14" s="249">
        <v>126</v>
      </c>
      <c r="D14" t="s">
        <v>334</v>
      </c>
      <c r="E14" s="203">
        <v>1501</v>
      </c>
    </row>
    <row r="15" spans="1:9" x14ac:dyDescent="0.3">
      <c r="A15" t="s">
        <v>116</v>
      </c>
      <c r="B15" s="249">
        <v>177</v>
      </c>
      <c r="D15" t="s">
        <v>15</v>
      </c>
      <c r="E15" s="203">
        <v>125</v>
      </c>
    </row>
    <row r="16" spans="1:9" x14ac:dyDescent="0.3">
      <c r="A16" t="s">
        <v>55</v>
      </c>
      <c r="B16" s="249">
        <v>194</v>
      </c>
      <c r="D16" t="s">
        <v>40</v>
      </c>
      <c r="E16" s="203">
        <v>5612</v>
      </c>
    </row>
    <row r="17" spans="1:5" x14ac:dyDescent="0.3">
      <c r="A17" t="s">
        <v>65</v>
      </c>
      <c r="B17" s="249">
        <v>200</v>
      </c>
      <c r="D17" t="s">
        <v>80</v>
      </c>
      <c r="E17" s="203">
        <v>490</v>
      </c>
    </row>
    <row r="18" spans="1:5" x14ac:dyDescent="0.3">
      <c r="A18" t="s">
        <v>58</v>
      </c>
      <c r="B18" s="249">
        <v>265</v>
      </c>
      <c r="D18" t="s">
        <v>52</v>
      </c>
      <c r="E18" s="203">
        <v>6824</v>
      </c>
    </row>
    <row r="19" spans="1:5" x14ac:dyDescent="0.3">
      <c r="A19" t="s">
        <v>333</v>
      </c>
      <c r="B19" s="249">
        <v>273</v>
      </c>
      <c r="D19" t="s">
        <v>128</v>
      </c>
      <c r="E19" s="203">
        <v>11679</v>
      </c>
    </row>
    <row r="20" spans="1:5" x14ac:dyDescent="0.3">
      <c r="A20" t="s">
        <v>112</v>
      </c>
      <c r="B20" s="249">
        <v>288</v>
      </c>
      <c r="D20" t="s">
        <v>131</v>
      </c>
      <c r="E20" s="203">
        <v>854</v>
      </c>
    </row>
    <row r="21" spans="1:5" x14ac:dyDescent="0.3">
      <c r="A21" t="s">
        <v>61</v>
      </c>
      <c r="B21" s="249">
        <v>368</v>
      </c>
      <c r="D21" t="s">
        <v>95</v>
      </c>
      <c r="E21" s="203">
        <v>122479</v>
      </c>
    </row>
    <row r="22" spans="1:5" x14ac:dyDescent="0.3">
      <c r="A22" t="s">
        <v>70</v>
      </c>
      <c r="B22" s="249">
        <v>406</v>
      </c>
      <c r="D22" t="s">
        <v>27</v>
      </c>
      <c r="E22" s="203">
        <v>95403</v>
      </c>
    </row>
    <row r="23" spans="1:5" x14ac:dyDescent="0.3">
      <c r="A23" t="s">
        <v>109</v>
      </c>
      <c r="B23" s="249">
        <v>425</v>
      </c>
      <c r="D23" t="s">
        <v>36</v>
      </c>
      <c r="E23" s="203">
        <v>5545</v>
      </c>
    </row>
    <row r="24" spans="1:5" x14ac:dyDescent="0.3">
      <c r="A24" t="s">
        <v>129</v>
      </c>
      <c r="B24" s="249">
        <v>515</v>
      </c>
      <c r="D24" t="s">
        <v>29</v>
      </c>
      <c r="E24" s="203">
        <v>455</v>
      </c>
    </row>
    <row r="25" spans="1:5" x14ac:dyDescent="0.3">
      <c r="A25" t="s">
        <v>47</v>
      </c>
      <c r="B25" s="249">
        <v>599</v>
      </c>
      <c r="D25" t="s">
        <v>83</v>
      </c>
      <c r="E25" s="203">
        <v>100</v>
      </c>
    </row>
    <row r="26" spans="1:5" x14ac:dyDescent="0.3">
      <c r="A26" t="s">
        <v>62</v>
      </c>
      <c r="B26" s="249">
        <v>731</v>
      </c>
      <c r="D26" t="s">
        <v>85</v>
      </c>
      <c r="E26" s="203">
        <v>4346</v>
      </c>
    </row>
    <row r="27" spans="1:5" x14ac:dyDescent="0.3">
      <c r="A27" t="s">
        <v>17</v>
      </c>
      <c r="B27" s="249">
        <v>863</v>
      </c>
      <c r="D27" t="s">
        <v>492</v>
      </c>
      <c r="E27" s="203">
        <v>550</v>
      </c>
    </row>
    <row r="28" spans="1:5" x14ac:dyDescent="0.3">
      <c r="A28" t="s">
        <v>46</v>
      </c>
      <c r="B28" s="249">
        <v>942</v>
      </c>
      <c r="D28" t="s">
        <v>94</v>
      </c>
      <c r="E28" s="203">
        <v>6787</v>
      </c>
    </row>
    <row r="29" spans="1:5" x14ac:dyDescent="0.3">
      <c r="A29" t="s">
        <v>87</v>
      </c>
      <c r="B29" s="249">
        <v>960</v>
      </c>
      <c r="D29" t="s">
        <v>498</v>
      </c>
      <c r="E29" s="203">
        <v>154949</v>
      </c>
    </row>
    <row r="30" spans="1:5" x14ac:dyDescent="0.3">
      <c r="A30" t="s">
        <v>92</v>
      </c>
      <c r="B30" s="249">
        <v>978</v>
      </c>
      <c r="D30" t="s">
        <v>499</v>
      </c>
      <c r="E30" s="203">
        <v>3325</v>
      </c>
    </row>
    <row r="31" spans="1:5" x14ac:dyDescent="0.3">
      <c r="A31" t="s">
        <v>33</v>
      </c>
      <c r="B31" s="249">
        <v>1031</v>
      </c>
      <c r="D31" t="s">
        <v>503</v>
      </c>
      <c r="E31" s="203">
        <v>9900</v>
      </c>
    </row>
    <row r="32" spans="1:5" x14ac:dyDescent="0.3">
      <c r="A32" t="s">
        <v>79</v>
      </c>
      <c r="B32" s="249">
        <v>1065</v>
      </c>
      <c r="D32" t="s">
        <v>127</v>
      </c>
      <c r="E32" s="203">
        <v>1964</v>
      </c>
    </row>
    <row r="33" spans="1:7" x14ac:dyDescent="0.3">
      <c r="A33" t="s">
        <v>111</v>
      </c>
      <c r="B33" s="249">
        <v>1104</v>
      </c>
      <c r="D33" t="s">
        <v>125</v>
      </c>
      <c r="E33" s="203">
        <v>10216</v>
      </c>
    </row>
    <row r="34" spans="1:7" x14ac:dyDescent="0.3">
      <c r="A34" t="s">
        <v>126</v>
      </c>
      <c r="B34" s="249">
        <v>1170</v>
      </c>
      <c r="D34" t="s">
        <v>48</v>
      </c>
      <c r="E34" s="203">
        <v>2104</v>
      </c>
    </row>
    <row r="35" spans="1:7" x14ac:dyDescent="0.3">
      <c r="A35" t="s">
        <v>22</v>
      </c>
      <c r="B35" s="249">
        <v>1178</v>
      </c>
      <c r="D35" t="s">
        <v>77</v>
      </c>
      <c r="E35" s="20">
        <v>136353</v>
      </c>
    </row>
    <row r="36" spans="1:7" x14ac:dyDescent="0.3">
      <c r="A36" t="s">
        <v>97</v>
      </c>
      <c r="B36" s="249">
        <v>1254</v>
      </c>
      <c r="D36" t="s">
        <v>119</v>
      </c>
      <c r="E36" s="20">
        <v>95827</v>
      </c>
    </row>
    <row r="37" spans="1:7" x14ac:dyDescent="0.3">
      <c r="A37" t="s">
        <v>69</v>
      </c>
      <c r="B37" s="249">
        <v>1381</v>
      </c>
      <c r="D37" t="s">
        <v>16</v>
      </c>
      <c r="E37" s="20">
        <v>44235</v>
      </c>
    </row>
    <row r="38" spans="1:7" x14ac:dyDescent="0.3">
      <c r="A38" t="s">
        <v>105</v>
      </c>
      <c r="B38" s="249">
        <v>1453</v>
      </c>
      <c r="D38"/>
      <c r="E38"/>
      <c r="F38" s="263"/>
    </row>
    <row r="39" spans="1:7" x14ac:dyDescent="0.3">
      <c r="A39" t="s">
        <v>23</v>
      </c>
      <c r="B39" s="249">
        <v>1567</v>
      </c>
      <c r="D39" t="s">
        <v>504</v>
      </c>
      <c r="E39" s="249">
        <v>100000</v>
      </c>
    </row>
    <row r="40" spans="1:7" x14ac:dyDescent="0.3">
      <c r="A40" t="s">
        <v>71</v>
      </c>
      <c r="B40" s="249">
        <v>1653</v>
      </c>
      <c r="D40" t="s">
        <v>18</v>
      </c>
      <c r="E40" s="249">
        <v>100000</v>
      </c>
    </row>
    <row r="41" spans="1:7" x14ac:dyDescent="0.3">
      <c r="A41" t="s">
        <v>500</v>
      </c>
      <c r="B41" s="249">
        <v>1792</v>
      </c>
      <c r="D41" t="s">
        <v>491</v>
      </c>
      <c r="E41" s="249">
        <v>100000</v>
      </c>
    </row>
    <row r="42" spans="1:7" x14ac:dyDescent="0.3">
      <c r="A42" t="s">
        <v>93</v>
      </c>
      <c r="B42" s="249">
        <v>1800</v>
      </c>
      <c r="D42" t="s">
        <v>501</v>
      </c>
      <c r="E42" s="249">
        <v>100000</v>
      </c>
      <c r="F42" s="263"/>
      <c r="G42" s="263"/>
    </row>
    <row r="43" spans="1:7" x14ac:dyDescent="0.3">
      <c r="A43" t="s">
        <v>106</v>
      </c>
      <c r="B43" s="249">
        <v>1815</v>
      </c>
      <c r="D43" t="s">
        <v>66</v>
      </c>
      <c r="E43" s="249">
        <v>100000</v>
      </c>
    </row>
    <row r="44" spans="1:7" x14ac:dyDescent="0.3">
      <c r="A44" t="s">
        <v>114</v>
      </c>
      <c r="B44" s="249">
        <v>1858</v>
      </c>
      <c r="D44" t="s">
        <v>103</v>
      </c>
      <c r="E44" s="249">
        <v>100000</v>
      </c>
    </row>
    <row r="45" spans="1:7" x14ac:dyDescent="0.3">
      <c r="A45" t="s">
        <v>236</v>
      </c>
      <c r="B45" s="249">
        <v>1876</v>
      </c>
      <c r="D45" t="s">
        <v>44</v>
      </c>
      <c r="E45" s="249">
        <v>100000</v>
      </c>
    </row>
    <row r="46" spans="1:7" x14ac:dyDescent="0.3">
      <c r="A46" t="s">
        <v>110</v>
      </c>
      <c r="B46" s="249">
        <v>1990</v>
      </c>
      <c r="D46" t="s">
        <v>107</v>
      </c>
      <c r="E46" s="249">
        <v>100000</v>
      </c>
      <c r="F46" s="263"/>
    </row>
    <row r="47" spans="1:7" x14ac:dyDescent="0.3">
      <c r="A47" t="s">
        <v>35</v>
      </c>
      <c r="B47" s="249">
        <v>2022</v>
      </c>
      <c r="D47" t="s">
        <v>43</v>
      </c>
      <c r="E47" s="249">
        <v>100000</v>
      </c>
    </row>
    <row r="48" spans="1:7" x14ac:dyDescent="0.3">
      <c r="A48" t="s">
        <v>81</v>
      </c>
      <c r="B48" s="249">
        <v>2212</v>
      </c>
      <c r="D48" t="s">
        <v>56</v>
      </c>
      <c r="E48" s="249">
        <v>100000</v>
      </c>
    </row>
    <row r="49" spans="1:7" x14ac:dyDescent="0.3">
      <c r="A49" t="s">
        <v>41</v>
      </c>
      <c r="B49" s="249">
        <v>2277</v>
      </c>
      <c r="D49" t="s">
        <v>116</v>
      </c>
      <c r="E49" s="249">
        <v>100000</v>
      </c>
      <c r="G49" s="263"/>
    </row>
    <row r="50" spans="1:7" x14ac:dyDescent="0.3">
      <c r="A50" t="s">
        <v>99</v>
      </c>
      <c r="B50" s="249">
        <v>2475</v>
      </c>
      <c r="D50" t="s">
        <v>55</v>
      </c>
      <c r="E50" s="249">
        <v>100000</v>
      </c>
    </row>
    <row r="51" spans="1:7" x14ac:dyDescent="0.3">
      <c r="A51" t="s">
        <v>96</v>
      </c>
      <c r="B51" s="249">
        <v>2584</v>
      </c>
      <c r="D51" t="s">
        <v>65</v>
      </c>
      <c r="E51" s="249">
        <v>100000</v>
      </c>
    </row>
    <row r="52" spans="1:7" x14ac:dyDescent="0.3">
      <c r="A52" t="s">
        <v>505</v>
      </c>
      <c r="B52" s="249">
        <v>2599</v>
      </c>
      <c r="D52" t="s">
        <v>58</v>
      </c>
      <c r="E52" s="249">
        <v>100000</v>
      </c>
    </row>
    <row r="53" spans="1:7" x14ac:dyDescent="0.3">
      <c r="A53" t="s">
        <v>104</v>
      </c>
      <c r="B53" s="249">
        <v>2788</v>
      </c>
      <c r="D53" t="s">
        <v>333</v>
      </c>
      <c r="E53" s="249">
        <v>100000</v>
      </c>
    </row>
    <row r="54" spans="1:7" x14ac:dyDescent="0.3">
      <c r="A54" t="s">
        <v>100</v>
      </c>
      <c r="B54" s="249">
        <v>2819</v>
      </c>
      <c r="D54" t="s">
        <v>112</v>
      </c>
      <c r="E54" s="249">
        <v>100000</v>
      </c>
    </row>
    <row r="55" spans="1:7" x14ac:dyDescent="0.3">
      <c r="A55" t="s">
        <v>53</v>
      </c>
      <c r="B55" s="249">
        <v>2838</v>
      </c>
      <c r="D55" t="s">
        <v>61</v>
      </c>
      <c r="E55" s="249">
        <v>100000</v>
      </c>
    </row>
    <row r="56" spans="1:7" x14ac:dyDescent="0.3">
      <c r="A56" t="s">
        <v>67</v>
      </c>
      <c r="B56" s="249">
        <v>3240</v>
      </c>
      <c r="D56" t="s">
        <v>70</v>
      </c>
      <c r="E56" s="249">
        <v>100000</v>
      </c>
    </row>
    <row r="57" spans="1:7" x14ac:dyDescent="0.3">
      <c r="A57" t="s">
        <v>88</v>
      </c>
      <c r="B57" s="249">
        <v>3471</v>
      </c>
      <c r="D57" t="s">
        <v>109</v>
      </c>
      <c r="E57" s="249">
        <v>100000</v>
      </c>
    </row>
    <row r="58" spans="1:7" x14ac:dyDescent="0.3">
      <c r="A58" t="s">
        <v>130</v>
      </c>
      <c r="B58" s="249">
        <v>3600</v>
      </c>
      <c r="D58" t="s">
        <v>129</v>
      </c>
      <c r="E58" s="249">
        <v>100000</v>
      </c>
    </row>
    <row r="59" spans="1:7" x14ac:dyDescent="0.3">
      <c r="A59" t="s">
        <v>63</v>
      </c>
      <c r="B59" s="249">
        <v>3722</v>
      </c>
      <c r="D59" t="s">
        <v>47</v>
      </c>
      <c r="E59" s="249">
        <v>100000</v>
      </c>
    </row>
    <row r="60" spans="1:7" x14ac:dyDescent="0.3">
      <c r="A60" t="s">
        <v>84</v>
      </c>
      <c r="B60" s="249">
        <v>3751</v>
      </c>
      <c r="D60" t="s">
        <v>62</v>
      </c>
      <c r="E60" s="249">
        <v>100000</v>
      </c>
    </row>
    <row r="61" spans="1:7" x14ac:dyDescent="0.3">
      <c r="A61" t="s">
        <v>78</v>
      </c>
      <c r="B61" s="249">
        <v>3973</v>
      </c>
      <c r="D61" t="s">
        <v>17</v>
      </c>
      <c r="E61" s="249">
        <v>100000</v>
      </c>
    </row>
    <row r="62" spans="1:7" x14ac:dyDescent="0.3">
      <c r="A62" t="s">
        <v>133</v>
      </c>
      <c r="B62" s="249">
        <v>4007</v>
      </c>
      <c r="D62" t="s">
        <v>46</v>
      </c>
      <c r="E62" s="249">
        <v>100000</v>
      </c>
    </row>
    <row r="63" spans="1:7" x14ac:dyDescent="0.3">
      <c r="A63" t="s">
        <v>42</v>
      </c>
      <c r="B63" s="249">
        <v>4246</v>
      </c>
      <c r="D63" t="s">
        <v>87</v>
      </c>
      <c r="E63" s="249">
        <v>100000</v>
      </c>
    </row>
    <row r="64" spans="1:7" x14ac:dyDescent="0.3">
      <c r="A64" t="s">
        <v>57</v>
      </c>
      <c r="B64" s="249">
        <v>4429</v>
      </c>
      <c r="D64" t="s">
        <v>92</v>
      </c>
      <c r="E64" s="249">
        <v>100000</v>
      </c>
    </row>
    <row r="65" spans="1:5" x14ac:dyDescent="0.3">
      <c r="A65" t="s">
        <v>24</v>
      </c>
      <c r="B65" s="249">
        <v>4546</v>
      </c>
      <c r="D65" t="s">
        <v>33</v>
      </c>
      <c r="E65" s="249">
        <v>100000</v>
      </c>
    </row>
    <row r="66" spans="1:5" x14ac:dyDescent="0.3">
      <c r="A66" t="s">
        <v>75</v>
      </c>
      <c r="B66" s="249">
        <v>4797</v>
      </c>
      <c r="D66" t="s">
        <v>79</v>
      </c>
      <c r="E66" s="249">
        <v>87598</v>
      </c>
    </row>
    <row r="67" spans="1:5" x14ac:dyDescent="0.3">
      <c r="A67" t="s">
        <v>39</v>
      </c>
      <c r="B67" s="249">
        <v>5434</v>
      </c>
    </row>
    <row r="68" spans="1:5" x14ac:dyDescent="0.3">
      <c r="A68" t="s">
        <v>90</v>
      </c>
      <c r="B68" s="249">
        <v>5640</v>
      </c>
      <c r="E68" s="263">
        <f>SUM(E4:E66)</f>
        <v>3600000</v>
      </c>
    </row>
    <row r="69" spans="1:5" x14ac:dyDescent="0.3">
      <c r="A69" t="s">
        <v>122</v>
      </c>
      <c r="B69" s="249">
        <v>5836</v>
      </c>
    </row>
    <row r="70" spans="1:5" x14ac:dyDescent="0.3">
      <c r="A70" t="s">
        <v>108</v>
      </c>
      <c r="B70" s="249">
        <v>6210</v>
      </c>
    </row>
    <row r="71" spans="1:5" x14ac:dyDescent="0.3">
      <c r="A71" t="s">
        <v>50</v>
      </c>
      <c r="B71" s="249">
        <v>6311</v>
      </c>
    </row>
    <row r="72" spans="1:5" x14ac:dyDescent="0.3">
      <c r="A72" t="s">
        <v>37</v>
      </c>
      <c r="B72" s="249">
        <v>6932</v>
      </c>
    </row>
    <row r="73" spans="1:5" x14ac:dyDescent="0.3">
      <c r="A73" t="s">
        <v>68</v>
      </c>
      <c r="B73" s="249">
        <v>7378</v>
      </c>
    </row>
    <row r="74" spans="1:5" x14ac:dyDescent="0.3">
      <c r="A74" t="s">
        <v>82</v>
      </c>
      <c r="B74" s="249">
        <v>7887</v>
      </c>
    </row>
    <row r="75" spans="1:5" x14ac:dyDescent="0.3">
      <c r="A75" t="s">
        <v>49</v>
      </c>
      <c r="B75" s="249">
        <v>8279</v>
      </c>
    </row>
    <row r="76" spans="1:5" x14ac:dyDescent="0.3">
      <c r="A76" t="s">
        <v>32</v>
      </c>
      <c r="B76" s="249">
        <v>8513</v>
      </c>
    </row>
    <row r="77" spans="1:5" x14ac:dyDescent="0.3">
      <c r="A77" t="s">
        <v>118</v>
      </c>
      <c r="B77" s="249">
        <v>8708</v>
      </c>
    </row>
    <row r="78" spans="1:5" x14ac:dyDescent="0.3">
      <c r="A78" t="s">
        <v>26</v>
      </c>
      <c r="B78" s="249">
        <v>9175</v>
      </c>
      <c r="C78" s="263"/>
    </row>
    <row r="79" spans="1:5" x14ac:dyDescent="0.3">
      <c r="A79" t="s">
        <v>51</v>
      </c>
      <c r="B79" s="249">
        <v>9197</v>
      </c>
    </row>
    <row r="80" spans="1:5" x14ac:dyDescent="0.3">
      <c r="A80" t="s">
        <v>132</v>
      </c>
      <c r="B80" s="249">
        <v>9302</v>
      </c>
    </row>
    <row r="81" spans="1:2" x14ac:dyDescent="0.3">
      <c r="A81" t="s">
        <v>72</v>
      </c>
      <c r="B81" s="249">
        <v>11304</v>
      </c>
    </row>
    <row r="82" spans="1:2" x14ac:dyDescent="0.3">
      <c r="A82" t="s">
        <v>91</v>
      </c>
      <c r="B82" s="249">
        <v>11402</v>
      </c>
    </row>
    <row r="83" spans="1:2" x14ac:dyDescent="0.3">
      <c r="A83" t="s">
        <v>54</v>
      </c>
      <c r="B83" s="249">
        <v>11486</v>
      </c>
    </row>
    <row r="84" spans="1:2" x14ac:dyDescent="0.3">
      <c r="A84" t="s">
        <v>113</v>
      </c>
      <c r="B84" s="249">
        <v>13575</v>
      </c>
    </row>
    <row r="85" spans="1:2" x14ac:dyDescent="0.3">
      <c r="A85" t="s">
        <v>21</v>
      </c>
      <c r="B85" s="249">
        <v>13785</v>
      </c>
    </row>
    <row r="86" spans="1:2" x14ac:dyDescent="0.3">
      <c r="A86" t="s">
        <v>59</v>
      </c>
      <c r="B86" s="249">
        <v>14559</v>
      </c>
    </row>
    <row r="87" spans="1:2" x14ac:dyDescent="0.3">
      <c r="A87" t="s">
        <v>117</v>
      </c>
      <c r="B87" s="249">
        <v>15274</v>
      </c>
    </row>
    <row r="88" spans="1:2" x14ac:dyDescent="0.3">
      <c r="A88" t="s">
        <v>19</v>
      </c>
      <c r="B88" s="249">
        <v>15470</v>
      </c>
    </row>
    <row r="89" spans="1:2" x14ac:dyDescent="0.3">
      <c r="A89" t="s">
        <v>31</v>
      </c>
      <c r="B89" s="249">
        <v>18553</v>
      </c>
    </row>
    <row r="90" spans="1:2" x14ac:dyDescent="0.3">
      <c r="A90" t="s">
        <v>76</v>
      </c>
      <c r="B90" s="249">
        <v>19041</v>
      </c>
    </row>
    <row r="91" spans="1:2" x14ac:dyDescent="0.3">
      <c r="A91" t="s">
        <v>121</v>
      </c>
      <c r="B91" s="249">
        <v>22850</v>
      </c>
    </row>
    <row r="92" spans="1:2" x14ac:dyDescent="0.3">
      <c r="A92" t="s">
        <v>30</v>
      </c>
      <c r="B92" s="249">
        <v>25393</v>
      </c>
    </row>
    <row r="93" spans="1:2" x14ac:dyDescent="0.3">
      <c r="A93" t="s">
        <v>73</v>
      </c>
      <c r="B93" s="249">
        <v>26311</v>
      </c>
    </row>
    <row r="94" spans="1:2" x14ac:dyDescent="0.3">
      <c r="A94" t="s">
        <v>497</v>
      </c>
      <c r="B94" s="249">
        <v>39200</v>
      </c>
    </row>
    <row r="95" spans="1:2" x14ac:dyDescent="0.3">
      <c r="A95" t="s">
        <v>20</v>
      </c>
      <c r="B95" s="249">
        <v>52570</v>
      </c>
    </row>
    <row r="96" spans="1:2" x14ac:dyDescent="0.3">
      <c r="A96" t="s">
        <v>124</v>
      </c>
      <c r="B96" s="249">
        <v>72836</v>
      </c>
    </row>
    <row r="97" spans="1:2" x14ac:dyDescent="0.3">
      <c r="A97" t="s">
        <v>238</v>
      </c>
      <c r="B97" s="249">
        <v>80703</v>
      </c>
    </row>
    <row r="98" spans="1:2" x14ac:dyDescent="0.3">
      <c r="A98" t="s">
        <v>45</v>
      </c>
      <c r="B98" s="249">
        <v>118445</v>
      </c>
    </row>
    <row r="99" spans="1:2" x14ac:dyDescent="0.3">
      <c r="A99" t="s">
        <v>120</v>
      </c>
      <c r="B99" s="249">
        <v>239065</v>
      </c>
    </row>
    <row r="100" spans="1:2" x14ac:dyDescent="0.3">
      <c r="A100" t="s">
        <v>64</v>
      </c>
      <c r="B100" s="249">
        <v>483318</v>
      </c>
    </row>
    <row r="101" spans="1:2" x14ac:dyDescent="0.3">
      <c r="A101" t="s">
        <v>123</v>
      </c>
      <c r="B101" s="249">
        <v>498437</v>
      </c>
    </row>
    <row r="102" spans="1:2" x14ac:dyDescent="0.3">
      <c r="A102" t="s">
        <v>25</v>
      </c>
      <c r="B102" s="249">
        <v>1400953</v>
      </c>
    </row>
    <row r="104" spans="1:2" x14ac:dyDescent="0.3">
      <c r="A104" t="s">
        <v>504</v>
      </c>
      <c r="B104" s="249">
        <v>100000</v>
      </c>
    </row>
    <row r="105" spans="1:2" x14ac:dyDescent="0.3">
      <c r="A105" t="s">
        <v>18</v>
      </c>
      <c r="B105" s="249">
        <v>100000</v>
      </c>
    </row>
    <row r="106" spans="1:2" x14ac:dyDescent="0.3">
      <c r="A106" t="s">
        <v>491</v>
      </c>
      <c r="B106" s="249">
        <v>100000</v>
      </c>
    </row>
    <row r="107" spans="1:2" x14ac:dyDescent="0.3">
      <c r="A107" t="s">
        <v>501</v>
      </c>
      <c r="B107" s="249">
        <v>100000</v>
      </c>
    </row>
    <row r="108" spans="1:2" x14ac:dyDescent="0.3">
      <c r="A108" t="s">
        <v>66</v>
      </c>
      <c r="B108" s="249">
        <v>100000</v>
      </c>
    </row>
    <row r="109" spans="1:2" x14ac:dyDescent="0.3">
      <c r="A109" t="s">
        <v>103</v>
      </c>
      <c r="B109" s="249">
        <v>100000</v>
      </c>
    </row>
    <row r="110" spans="1:2" x14ac:dyDescent="0.3">
      <c r="A110" t="s">
        <v>44</v>
      </c>
      <c r="B110" s="249">
        <v>100000</v>
      </c>
    </row>
    <row r="111" spans="1:2" x14ac:dyDescent="0.3">
      <c r="A111" t="s">
        <v>107</v>
      </c>
      <c r="B111" s="249">
        <v>100000</v>
      </c>
    </row>
    <row r="112" spans="1:2" x14ac:dyDescent="0.3">
      <c r="A112" t="s">
        <v>43</v>
      </c>
      <c r="B112" s="249">
        <v>100000</v>
      </c>
    </row>
    <row r="113" spans="1:2" x14ac:dyDescent="0.3">
      <c r="A113" t="s">
        <v>56</v>
      </c>
      <c r="B113" s="249">
        <v>100000</v>
      </c>
    </row>
    <row r="114" spans="1:2" x14ac:dyDescent="0.3">
      <c r="A114" t="s">
        <v>116</v>
      </c>
      <c r="B114" s="249">
        <v>100000</v>
      </c>
    </row>
    <row r="115" spans="1:2" x14ac:dyDescent="0.3">
      <c r="A115" t="s">
        <v>55</v>
      </c>
      <c r="B115" s="249">
        <v>100000</v>
      </c>
    </row>
    <row r="116" spans="1:2" x14ac:dyDescent="0.3">
      <c r="A116" t="s">
        <v>65</v>
      </c>
      <c r="B116" s="249">
        <v>100000</v>
      </c>
    </row>
    <row r="117" spans="1:2" x14ac:dyDescent="0.3">
      <c r="A117" t="s">
        <v>58</v>
      </c>
      <c r="B117" s="249">
        <v>100000</v>
      </c>
    </row>
    <row r="118" spans="1:2" x14ac:dyDescent="0.3">
      <c r="A118" t="s">
        <v>333</v>
      </c>
      <c r="B118" s="249">
        <v>100000</v>
      </c>
    </row>
    <row r="119" spans="1:2" x14ac:dyDescent="0.3">
      <c r="A119" t="s">
        <v>112</v>
      </c>
      <c r="B119" s="249">
        <v>100000</v>
      </c>
    </row>
    <row r="120" spans="1:2" x14ac:dyDescent="0.3">
      <c r="A120" t="s">
        <v>61</v>
      </c>
      <c r="B120" s="249">
        <v>100000</v>
      </c>
    </row>
    <row r="121" spans="1:2" x14ac:dyDescent="0.3">
      <c r="A121" t="s">
        <v>70</v>
      </c>
      <c r="B121" s="249">
        <v>100000</v>
      </c>
    </row>
    <row r="122" spans="1:2" x14ac:dyDescent="0.3">
      <c r="A122" t="s">
        <v>109</v>
      </c>
      <c r="B122" s="249">
        <v>100000</v>
      </c>
    </row>
    <row r="123" spans="1:2" x14ac:dyDescent="0.3">
      <c r="A123" t="s">
        <v>129</v>
      </c>
      <c r="B123" s="249">
        <v>100000</v>
      </c>
    </row>
    <row r="124" spans="1:2" x14ac:dyDescent="0.3">
      <c r="A124" t="s">
        <v>47</v>
      </c>
      <c r="B124" s="249">
        <v>100000</v>
      </c>
    </row>
    <row r="125" spans="1:2" x14ac:dyDescent="0.3">
      <c r="A125" t="s">
        <v>62</v>
      </c>
      <c r="B125" s="249">
        <v>100000</v>
      </c>
    </row>
    <row r="126" spans="1:2" x14ac:dyDescent="0.3">
      <c r="A126" t="s">
        <v>17</v>
      </c>
      <c r="B126" s="249">
        <v>100000</v>
      </c>
    </row>
    <row r="127" spans="1:2" x14ac:dyDescent="0.3">
      <c r="A127" t="s">
        <v>46</v>
      </c>
      <c r="B127" s="249">
        <v>100000</v>
      </c>
    </row>
    <row r="128" spans="1:2" x14ac:dyDescent="0.3">
      <c r="A128" t="s">
        <v>87</v>
      </c>
      <c r="B128" s="249">
        <v>100000</v>
      </c>
    </row>
    <row r="129" spans="1:2" x14ac:dyDescent="0.3">
      <c r="A129" t="s">
        <v>92</v>
      </c>
      <c r="B129" s="249">
        <v>100000</v>
      </c>
    </row>
    <row r="130" spans="1:2" x14ac:dyDescent="0.3">
      <c r="A130" t="s">
        <v>33</v>
      </c>
      <c r="B130" s="249">
        <v>100000</v>
      </c>
    </row>
    <row r="131" spans="1:2" x14ac:dyDescent="0.3">
      <c r="A131" t="s">
        <v>79</v>
      </c>
      <c r="B131" s="249">
        <v>87598</v>
      </c>
    </row>
    <row r="133" spans="1:2" ht="15" thickBot="1" x14ac:dyDescent="0.35">
      <c r="A133" s="1" t="s">
        <v>213</v>
      </c>
      <c r="B133" s="251">
        <f>SUM(B5:B132)</f>
        <v>6196019</v>
      </c>
    </row>
    <row r="134" spans="1:2" ht="15" thickTop="1" x14ac:dyDescent="0.3"/>
    <row r="136" spans="1:2" x14ac:dyDescent="0.3">
      <c r="A136" s="2091" t="s">
        <v>601</v>
      </c>
      <c r="B136" s="2091"/>
    </row>
    <row r="137" spans="1:2" x14ac:dyDescent="0.3">
      <c r="A137" s="1" t="s">
        <v>215</v>
      </c>
      <c r="B137" s="262" t="s">
        <v>593</v>
      </c>
    </row>
    <row r="139" spans="1:2" x14ac:dyDescent="0.3">
      <c r="A139" t="s">
        <v>603</v>
      </c>
      <c r="B139" s="203"/>
    </row>
    <row r="140" spans="1:2" x14ac:dyDescent="0.3">
      <c r="A140" s="248" t="s">
        <v>28</v>
      </c>
      <c r="B140" s="204">
        <v>317009</v>
      </c>
    </row>
    <row r="141" spans="1:2" x14ac:dyDescent="0.3">
      <c r="A141" s="248" t="s">
        <v>237</v>
      </c>
      <c r="B141" s="204">
        <v>117648</v>
      </c>
    </row>
    <row r="142" spans="1:2" x14ac:dyDescent="0.3">
      <c r="A142" s="248" t="s">
        <v>101</v>
      </c>
      <c r="B142" s="204">
        <v>1139057</v>
      </c>
    </row>
    <row r="143" spans="1:2" x14ac:dyDescent="0.3">
      <c r="A143" s="248" t="s">
        <v>480</v>
      </c>
      <c r="B143" s="204">
        <f>836112-518588+32385</f>
        <v>349909</v>
      </c>
    </row>
    <row r="144" spans="1:2" x14ac:dyDescent="0.3">
      <c r="B144" s="203"/>
    </row>
    <row r="145" spans="1:2" ht="15" thickBot="1" x14ac:dyDescent="0.35">
      <c r="B145" s="250">
        <f>SUM(B140:B144)</f>
        <v>1923623</v>
      </c>
    </row>
    <row r="146" spans="1:2" ht="15" thickTop="1" x14ac:dyDescent="0.3"/>
    <row r="147" spans="1:2" x14ac:dyDescent="0.3">
      <c r="A147" s="2091" t="s">
        <v>601</v>
      </c>
      <c r="B147" s="2091"/>
    </row>
    <row r="148" spans="1:2" x14ac:dyDescent="0.3">
      <c r="A148" s="1" t="s">
        <v>215</v>
      </c>
      <c r="B148" s="262" t="s">
        <v>593</v>
      </c>
    </row>
    <row r="150" spans="1:2" x14ac:dyDescent="0.3">
      <c r="A150" s="91" t="s">
        <v>604</v>
      </c>
      <c r="B150" s="254"/>
    </row>
    <row r="151" spans="1:2" x14ac:dyDescent="0.3">
      <c r="A151" s="248" t="s">
        <v>34</v>
      </c>
      <c r="B151" s="204">
        <v>1175175</v>
      </c>
    </row>
    <row r="152" spans="1:2" x14ac:dyDescent="0.3">
      <c r="A152" s="248" t="s">
        <v>38</v>
      </c>
      <c r="B152" s="204">
        <f>510786-140503</f>
        <v>370283</v>
      </c>
    </row>
    <row r="153" spans="1:2" x14ac:dyDescent="0.3">
      <c r="B153" s="204"/>
    </row>
    <row r="154" spans="1:2" ht="15" thickBot="1" x14ac:dyDescent="0.35">
      <c r="B154" s="250">
        <f>SUM(B151:B152)</f>
        <v>1545458</v>
      </c>
    </row>
    <row r="155" spans="1:2" ht="15" thickTop="1" x14ac:dyDescent="0.3"/>
    <row r="156" spans="1:2" ht="15" thickBot="1" x14ac:dyDescent="0.35">
      <c r="A156" s="252" t="s">
        <v>213</v>
      </c>
      <c r="B156" s="251">
        <f>B145+B154</f>
        <v>3469081</v>
      </c>
    </row>
    <row r="157" spans="1:2" ht="15" thickTop="1" x14ac:dyDescent="0.3"/>
  </sheetData>
  <sortState ref="A5:B103">
    <sortCondition ref="B5:B103"/>
  </sortState>
  <mergeCells count="5">
    <mergeCell ref="A2:B2"/>
    <mergeCell ref="D2:E2"/>
    <mergeCell ref="A136:B136"/>
    <mergeCell ref="A147:B147"/>
    <mergeCell ref="C3:E3"/>
  </mergeCells>
  <pageMargins left="0.7" right="0.7" top="0.75" bottom="0.75" header="0.3" footer="0.3"/>
  <pageSetup orientation="portrait" r:id="rId1"/>
  <rowBreaks count="2" manualBreakCount="2">
    <brk id="43" max="1" man="1"/>
    <brk id="133" max="1" man="1"/>
  </rowBreaks>
  <colBreaks count="1" manualBreakCount="1">
    <brk id="2" max="156"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E12" sqref="E12"/>
    </sheetView>
  </sheetViews>
  <sheetFormatPr defaultRowHeight="14.4" x14ac:dyDescent="0.3"/>
  <cols>
    <col min="1" max="1" width="21.5546875" customWidth="1"/>
    <col min="5" max="5" width="13.33203125" bestFit="1" customWidth="1"/>
  </cols>
  <sheetData>
    <row r="1" spans="1:5" x14ac:dyDescent="0.3">
      <c r="A1" s="2091" t="s">
        <v>261</v>
      </c>
      <c r="B1" s="2091"/>
      <c r="C1" s="2091"/>
      <c r="D1" s="2091"/>
      <c r="E1" s="2091"/>
    </row>
    <row r="2" spans="1:5" x14ac:dyDescent="0.3">
      <c r="A2" s="1" t="s">
        <v>215</v>
      </c>
      <c r="B2" s="1"/>
      <c r="C2" s="1"/>
      <c r="D2" s="1"/>
      <c r="E2" s="1" t="s">
        <v>593</v>
      </c>
    </row>
    <row r="4" spans="1:5" x14ac:dyDescent="0.3">
      <c r="A4" t="s">
        <v>594</v>
      </c>
      <c r="E4" s="178">
        <v>6055</v>
      </c>
    </row>
    <row r="5" spans="1:5" x14ac:dyDescent="0.3">
      <c r="A5" t="s">
        <v>595</v>
      </c>
      <c r="E5" s="178">
        <v>10000</v>
      </c>
    </row>
    <row r="6" spans="1:5" x14ac:dyDescent="0.3">
      <c r="A6" t="s">
        <v>596</v>
      </c>
      <c r="E6" s="178">
        <v>3466468</v>
      </c>
    </row>
    <row r="7" spans="1:5" x14ac:dyDescent="0.3">
      <c r="A7" t="s">
        <v>597</v>
      </c>
      <c r="E7" s="178">
        <v>800</v>
      </c>
    </row>
    <row r="8" spans="1:5" x14ac:dyDescent="0.3">
      <c r="A8" t="s">
        <v>598</v>
      </c>
      <c r="E8" s="178">
        <v>58370</v>
      </c>
    </row>
    <row r="9" spans="1:5" x14ac:dyDescent="0.3">
      <c r="E9" s="178"/>
    </row>
    <row r="10" spans="1:5" ht="15" thickBot="1" x14ac:dyDescent="0.35">
      <c r="B10" s="1" t="s">
        <v>213</v>
      </c>
      <c r="E10" s="253">
        <f>SUM(E4:E8)</f>
        <v>3541693</v>
      </c>
    </row>
    <row r="11" spans="1:5" ht="15" thickTop="1" x14ac:dyDescent="0.3"/>
  </sheetData>
  <mergeCells count="1">
    <mergeCell ref="A1:E1"/>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7"/>
  <sheetViews>
    <sheetView topLeftCell="A718" workbookViewId="0">
      <selection activeCell="A963" sqref="A963"/>
    </sheetView>
  </sheetViews>
  <sheetFormatPr defaultRowHeight="14.4" x14ac:dyDescent="0.3"/>
  <cols>
    <col min="1" max="1" width="54.77734375" bestFit="1" customWidth="1"/>
    <col min="2" max="2" width="12.21875" bestFit="1" customWidth="1"/>
    <col min="3" max="4" width="10.33203125" bestFit="1" customWidth="1"/>
    <col min="5" max="5" width="12.88671875" bestFit="1" customWidth="1"/>
    <col min="13" max="13" width="11" bestFit="1" customWidth="1"/>
  </cols>
  <sheetData>
    <row r="1" spans="1:13" x14ac:dyDescent="0.3">
      <c r="B1" s="1919" t="s">
        <v>3701</v>
      </c>
      <c r="C1" s="1919"/>
      <c r="D1" s="1919"/>
      <c r="E1" s="1919"/>
      <c r="F1" s="1919" t="s">
        <v>3702</v>
      </c>
      <c r="G1" s="1919"/>
      <c r="H1" s="1919"/>
      <c r="I1" s="1919"/>
      <c r="J1" s="1919" t="s">
        <v>3703</v>
      </c>
      <c r="K1" s="1919"/>
      <c r="L1" s="1919"/>
      <c r="M1" s="1919"/>
    </row>
    <row r="2" spans="1:13" x14ac:dyDescent="0.3">
      <c r="B2" s="1892" t="s">
        <v>3704</v>
      </c>
      <c r="C2" s="1892" t="s">
        <v>2237</v>
      </c>
      <c r="D2" s="1892" t="s">
        <v>2236</v>
      </c>
      <c r="E2" s="1892" t="s">
        <v>3705</v>
      </c>
      <c r="F2" s="1892" t="s">
        <v>3704</v>
      </c>
      <c r="G2" s="1892" t="s">
        <v>2237</v>
      </c>
      <c r="H2" s="1892" t="s">
        <v>2236</v>
      </c>
      <c r="I2" s="1892" t="s">
        <v>3705</v>
      </c>
      <c r="J2" s="1892" t="s">
        <v>3704</v>
      </c>
      <c r="K2" s="1892" t="s">
        <v>2237</v>
      </c>
      <c r="L2" s="1892" t="s">
        <v>2236</v>
      </c>
      <c r="M2" s="1892" t="s">
        <v>3705</v>
      </c>
    </row>
    <row r="3" spans="1:13" x14ac:dyDescent="0.3">
      <c r="A3" s="1879" t="s">
        <v>3720</v>
      </c>
      <c r="B3" s="1460"/>
      <c r="C3" s="1462"/>
      <c r="D3" s="1459">
        <v>1078695.3999999999</v>
      </c>
      <c r="E3" s="1468">
        <v>-1078695.3999999999</v>
      </c>
      <c r="J3" s="1541">
        <f t="shared" ref="J3:J29" si="0">B3+F3</f>
        <v>0</v>
      </c>
      <c r="K3" s="1541">
        <f t="shared" ref="K3:K29" si="1">C3+G3</f>
        <v>0</v>
      </c>
      <c r="L3" s="1541">
        <f t="shared" ref="L3:L29" si="2">D3+H3</f>
        <v>1078695.3999999999</v>
      </c>
      <c r="M3" s="1541">
        <f t="shared" ref="M3:M29" si="3">E3+I3</f>
        <v>-1078695.3999999999</v>
      </c>
    </row>
    <row r="4" spans="1:13" x14ac:dyDescent="0.3">
      <c r="A4" s="1852" t="s">
        <v>2631</v>
      </c>
      <c r="B4" s="1462"/>
      <c r="C4" s="1456">
        <v>409803.31</v>
      </c>
      <c r="D4" s="1456">
        <v>612611</v>
      </c>
      <c r="E4" s="1471">
        <v>-202807.69</v>
      </c>
      <c r="J4" s="1541">
        <f t="shared" si="0"/>
        <v>0</v>
      </c>
      <c r="K4" s="1541">
        <f t="shared" si="1"/>
        <v>409803.31</v>
      </c>
      <c r="L4" s="1541">
        <f t="shared" si="2"/>
        <v>612611</v>
      </c>
      <c r="M4" s="1541">
        <f t="shared" si="3"/>
        <v>-202807.69</v>
      </c>
    </row>
    <row r="5" spans="1:13" x14ac:dyDescent="0.3">
      <c r="A5" s="1855" t="s">
        <v>3151</v>
      </c>
      <c r="B5" s="1462"/>
      <c r="C5" s="1456">
        <v>810920</v>
      </c>
      <c r="D5" s="1456">
        <v>824805</v>
      </c>
      <c r="E5" s="1471">
        <v>-13885</v>
      </c>
      <c r="J5" s="1541">
        <f t="shared" si="0"/>
        <v>0</v>
      </c>
      <c r="K5" s="1541">
        <f t="shared" si="1"/>
        <v>810920</v>
      </c>
      <c r="L5" s="1541">
        <f t="shared" si="2"/>
        <v>824805</v>
      </c>
      <c r="M5" s="1541">
        <f t="shared" si="3"/>
        <v>-13885</v>
      </c>
    </row>
    <row r="6" spans="1:13" x14ac:dyDescent="0.3">
      <c r="A6" s="1855" t="s">
        <v>2978</v>
      </c>
      <c r="B6" s="1462"/>
      <c r="C6" s="1456">
        <v>76550</v>
      </c>
      <c r="D6" s="1456">
        <v>87150</v>
      </c>
      <c r="E6" s="1471">
        <v>-10600</v>
      </c>
      <c r="J6" s="1541">
        <f t="shared" si="0"/>
        <v>0</v>
      </c>
      <c r="K6" s="1541">
        <f t="shared" si="1"/>
        <v>76550</v>
      </c>
      <c r="L6" s="1541">
        <f t="shared" si="2"/>
        <v>87150</v>
      </c>
      <c r="M6" s="1541">
        <f t="shared" si="3"/>
        <v>-10600</v>
      </c>
    </row>
    <row r="7" spans="1:13" x14ac:dyDescent="0.3">
      <c r="A7" s="1852" t="s">
        <v>3170</v>
      </c>
      <c r="B7" s="1462"/>
      <c r="C7" s="1460"/>
      <c r="D7" s="1456">
        <v>10320</v>
      </c>
      <c r="E7" s="1471">
        <v>-10320</v>
      </c>
      <c r="J7" s="1541">
        <f t="shared" si="0"/>
        <v>0</v>
      </c>
      <c r="K7" s="1541">
        <f t="shared" si="1"/>
        <v>0</v>
      </c>
      <c r="L7" s="1541">
        <f t="shared" si="2"/>
        <v>10320</v>
      </c>
      <c r="M7" s="1541">
        <f t="shared" si="3"/>
        <v>-10320</v>
      </c>
    </row>
    <row r="8" spans="1:13" x14ac:dyDescent="0.3">
      <c r="A8" s="1852" t="s">
        <v>3235</v>
      </c>
      <c r="B8" s="1462"/>
      <c r="C8" s="1456">
        <v>15710</v>
      </c>
      <c r="D8" s="1456">
        <v>22310</v>
      </c>
      <c r="E8" s="1471">
        <v>-6600</v>
      </c>
      <c r="J8" s="1541">
        <f t="shared" si="0"/>
        <v>0</v>
      </c>
      <c r="K8" s="1541">
        <f t="shared" si="1"/>
        <v>15710</v>
      </c>
      <c r="L8" s="1541">
        <f t="shared" si="2"/>
        <v>22310</v>
      </c>
      <c r="M8" s="1541">
        <f t="shared" si="3"/>
        <v>-6600</v>
      </c>
    </row>
    <row r="9" spans="1:13" x14ac:dyDescent="0.3">
      <c r="A9" s="1852" t="s">
        <v>3173</v>
      </c>
      <c r="B9" s="1462"/>
      <c r="C9" s="1456">
        <v>24506</v>
      </c>
      <c r="D9" s="1456">
        <v>27350</v>
      </c>
      <c r="E9" s="1471">
        <v>-2844</v>
      </c>
      <c r="J9" s="1541">
        <f t="shared" si="0"/>
        <v>0</v>
      </c>
      <c r="K9" s="1541">
        <f t="shared" si="1"/>
        <v>24506</v>
      </c>
      <c r="L9" s="1541">
        <f t="shared" si="2"/>
        <v>27350</v>
      </c>
      <c r="M9" s="1541">
        <f t="shared" si="3"/>
        <v>-2844</v>
      </c>
    </row>
    <row r="10" spans="1:13" x14ac:dyDescent="0.3">
      <c r="A10" s="1855" t="s">
        <v>2774</v>
      </c>
      <c r="B10" s="1462"/>
      <c r="C10" s="1456">
        <v>15893.01</v>
      </c>
      <c r="D10" s="1456">
        <v>17592.91</v>
      </c>
      <c r="E10" s="1471">
        <v>-1699.9</v>
      </c>
      <c r="J10" s="1541">
        <f t="shared" si="0"/>
        <v>0</v>
      </c>
      <c r="K10" s="1541">
        <f t="shared" si="1"/>
        <v>15893.01</v>
      </c>
      <c r="L10" s="1541">
        <f t="shared" si="2"/>
        <v>17592.91</v>
      </c>
      <c r="M10" s="1541">
        <f t="shared" si="3"/>
        <v>-1699.9</v>
      </c>
    </row>
    <row r="11" spans="1:13" x14ac:dyDescent="0.3">
      <c r="A11" s="1852" t="s">
        <v>3036</v>
      </c>
      <c r="B11" s="1462"/>
      <c r="C11" s="1456">
        <v>1680</v>
      </c>
      <c r="D11" s="1456">
        <v>3360</v>
      </c>
      <c r="E11" s="1471">
        <v>-1680</v>
      </c>
      <c r="J11" s="1541">
        <f t="shared" si="0"/>
        <v>0</v>
      </c>
      <c r="K11" s="1541">
        <f t="shared" si="1"/>
        <v>1680</v>
      </c>
      <c r="L11" s="1541">
        <f t="shared" si="2"/>
        <v>3360</v>
      </c>
      <c r="M11" s="1541">
        <f t="shared" si="3"/>
        <v>-1680</v>
      </c>
    </row>
    <row r="12" spans="1:13" x14ac:dyDescent="0.3">
      <c r="A12" s="1852" t="s">
        <v>3370</v>
      </c>
      <c r="B12" s="1462"/>
      <c r="C12" s="1456">
        <v>4460</v>
      </c>
      <c r="D12" s="1456">
        <v>5860</v>
      </c>
      <c r="E12" s="1471">
        <v>-1400</v>
      </c>
      <c r="J12" s="1541">
        <f t="shared" si="0"/>
        <v>0</v>
      </c>
      <c r="K12" s="1541">
        <f t="shared" si="1"/>
        <v>4460</v>
      </c>
      <c r="L12" s="1541">
        <f t="shared" si="2"/>
        <v>5860</v>
      </c>
      <c r="M12" s="1541">
        <f t="shared" si="3"/>
        <v>-1400</v>
      </c>
    </row>
    <row r="13" spans="1:13" x14ac:dyDescent="0.3">
      <c r="A13" s="1855" t="s">
        <v>3277</v>
      </c>
      <c r="B13" s="1462"/>
      <c r="C13" s="1456">
        <v>143747</v>
      </c>
      <c r="D13" s="1456">
        <v>144900</v>
      </c>
      <c r="E13" s="1471">
        <v>-1153</v>
      </c>
      <c r="J13" s="1541">
        <f t="shared" si="0"/>
        <v>0</v>
      </c>
      <c r="K13" s="1541">
        <f t="shared" si="1"/>
        <v>143747</v>
      </c>
      <c r="L13" s="1541">
        <f t="shared" si="2"/>
        <v>144900</v>
      </c>
      <c r="M13" s="1541">
        <f t="shared" si="3"/>
        <v>-1153</v>
      </c>
    </row>
    <row r="14" spans="1:13" x14ac:dyDescent="0.3">
      <c r="A14" s="1852" t="s">
        <v>3066</v>
      </c>
      <c r="B14" s="1462"/>
      <c r="C14" s="1456">
        <v>39522</v>
      </c>
      <c r="D14" s="1456">
        <v>40643.910000000003</v>
      </c>
      <c r="E14" s="1471">
        <v>-1121.9100000000001</v>
      </c>
      <c r="J14" s="1541">
        <f t="shared" si="0"/>
        <v>0</v>
      </c>
      <c r="K14" s="1541">
        <f t="shared" si="1"/>
        <v>39522</v>
      </c>
      <c r="L14" s="1541">
        <f t="shared" si="2"/>
        <v>40643.910000000003</v>
      </c>
      <c r="M14" s="1541">
        <f t="shared" si="3"/>
        <v>-1121.9100000000001</v>
      </c>
    </row>
    <row r="15" spans="1:13" x14ac:dyDescent="0.3">
      <c r="A15" s="1852" t="s">
        <v>2830</v>
      </c>
      <c r="B15" s="1462"/>
      <c r="C15" s="1456">
        <v>33620</v>
      </c>
      <c r="D15" s="1456">
        <v>34619.949999999997</v>
      </c>
      <c r="E15" s="1471">
        <v>-999.95</v>
      </c>
      <c r="J15" s="1541">
        <f t="shared" si="0"/>
        <v>0</v>
      </c>
      <c r="K15" s="1541">
        <f t="shared" si="1"/>
        <v>33620</v>
      </c>
      <c r="L15" s="1541">
        <f t="shared" si="2"/>
        <v>34619.949999999997</v>
      </c>
      <c r="M15" s="1541">
        <f t="shared" si="3"/>
        <v>-999.95</v>
      </c>
    </row>
    <row r="16" spans="1:13" x14ac:dyDescent="0.3">
      <c r="A16" s="1852" t="s">
        <v>3366</v>
      </c>
      <c r="B16" s="1462"/>
      <c r="C16" s="1456">
        <v>812</v>
      </c>
      <c r="D16" s="1456">
        <v>1624</v>
      </c>
      <c r="E16" s="1471">
        <v>-812</v>
      </c>
      <c r="J16" s="1541">
        <f t="shared" si="0"/>
        <v>0</v>
      </c>
      <c r="K16" s="1541">
        <f t="shared" si="1"/>
        <v>812</v>
      </c>
      <c r="L16" s="1541">
        <f t="shared" si="2"/>
        <v>1624</v>
      </c>
      <c r="M16" s="1541">
        <f t="shared" si="3"/>
        <v>-812</v>
      </c>
    </row>
    <row r="17" spans="1:13" x14ac:dyDescent="0.3">
      <c r="A17" s="1855" t="s">
        <v>3415</v>
      </c>
      <c r="B17" s="1462"/>
      <c r="C17" s="1460"/>
      <c r="D17" s="1456">
        <v>472</v>
      </c>
      <c r="E17" s="1471">
        <v>-472</v>
      </c>
      <c r="J17" s="1541">
        <f t="shared" si="0"/>
        <v>0</v>
      </c>
      <c r="K17" s="1541">
        <f t="shared" si="1"/>
        <v>0</v>
      </c>
      <c r="L17" s="1541">
        <f t="shared" si="2"/>
        <v>472</v>
      </c>
      <c r="M17" s="1541">
        <f t="shared" si="3"/>
        <v>-472</v>
      </c>
    </row>
    <row r="18" spans="1:13" x14ac:dyDescent="0.3">
      <c r="A18" s="1855" t="s">
        <v>3021</v>
      </c>
      <c r="B18" s="1462"/>
      <c r="C18" s="1456">
        <v>9464</v>
      </c>
      <c r="D18" s="1456">
        <v>9923.98</v>
      </c>
      <c r="E18" s="1471">
        <v>-459.98</v>
      </c>
      <c r="J18" s="1541">
        <f t="shared" si="0"/>
        <v>0</v>
      </c>
      <c r="K18" s="1541">
        <f t="shared" si="1"/>
        <v>9464</v>
      </c>
      <c r="L18" s="1541">
        <f t="shared" si="2"/>
        <v>9923.98</v>
      </c>
      <c r="M18" s="1541">
        <f t="shared" si="3"/>
        <v>-459.98</v>
      </c>
    </row>
    <row r="19" spans="1:13" x14ac:dyDescent="0.3">
      <c r="A19" s="1855" t="s">
        <v>3069</v>
      </c>
      <c r="B19" s="1462"/>
      <c r="C19" s="1456">
        <v>132036</v>
      </c>
      <c r="D19" s="1456">
        <v>132437</v>
      </c>
      <c r="E19" s="1471">
        <v>-401</v>
      </c>
      <c r="J19" s="1541">
        <f t="shared" si="0"/>
        <v>0</v>
      </c>
      <c r="K19" s="1541">
        <f t="shared" si="1"/>
        <v>132036</v>
      </c>
      <c r="L19" s="1541">
        <f t="shared" si="2"/>
        <v>132437</v>
      </c>
      <c r="M19" s="1541">
        <f t="shared" si="3"/>
        <v>-401</v>
      </c>
    </row>
    <row r="20" spans="1:13" x14ac:dyDescent="0.3">
      <c r="A20" s="1852" t="s">
        <v>3247</v>
      </c>
      <c r="B20" s="1462"/>
      <c r="C20" s="1456">
        <v>9596.01</v>
      </c>
      <c r="D20" s="1456">
        <v>9808</v>
      </c>
      <c r="E20" s="1471">
        <v>-211.99</v>
      </c>
      <c r="J20" s="1541">
        <f t="shared" si="0"/>
        <v>0</v>
      </c>
      <c r="K20" s="1541">
        <f t="shared" si="1"/>
        <v>9596.01</v>
      </c>
      <c r="L20" s="1541">
        <f t="shared" si="2"/>
        <v>9808</v>
      </c>
      <c r="M20" s="1541">
        <f t="shared" si="3"/>
        <v>-211.99</v>
      </c>
    </row>
    <row r="21" spans="1:13" x14ac:dyDescent="0.3">
      <c r="A21" s="1852" t="s">
        <v>3168</v>
      </c>
      <c r="B21" s="1462"/>
      <c r="C21" s="1456">
        <v>8806</v>
      </c>
      <c r="D21" s="1456">
        <v>8906</v>
      </c>
      <c r="E21" s="1471">
        <v>-100</v>
      </c>
      <c r="J21" s="1541">
        <f t="shared" si="0"/>
        <v>0</v>
      </c>
      <c r="K21" s="1541">
        <f t="shared" si="1"/>
        <v>8806</v>
      </c>
      <c r="L21" s="1541">
        <f t="shared" si="2"/>
        <v>8906</v>
      </c>
      <c r="M21" s="1541">
        <f t="shared" si="3"/>
        <v>-100</v>
      </c>
    </row>
    <row r="22" spans="1:13" x14ac:dyDescent="0.3">
      <c r="A22" s="1852" t="s">
        <v>2710</v>
      </c>
      <c r="B22" s="1462"/>
      <c r="C22" s="1456">
        <v>23201</v>
      </c>
      <c r="D22" s="1456">
        <v>23245</v>
      </c>
      <c r="E22" s="1471">
        <v>-44</v>
      </c>
      <c r="J22" s="1541">
        <f t="shared" si="0"/>
        <v>0</v>
      </c>
      <c r="K22" s="1541">
        <f t="shared" si="1"/>
        <v>23201</v>
      </c>
      <c r="L22" s="1541">
        <f t="shared" si="2"/>
        <v>23245</v>
      </c>
      <c r="M22" s="1541">
        <f t="shared" si="3"/>
        <v>-44</v>
      </c>
    </row>
    <row r="23" spans="1:13" x14ac:dyDescent="0.3">
      <c r="A23" s="1852" t="s">
        <v>3202</v>
      </c>
      <c r="B23" s="1462"/>
      <c r="C23" s="1456">
        <v>902</v>
      </c>
      <c r="D23" s="1456">
        <v>942</v>
      </c>
      <c r="E23" s="1471">
        <v>-40</v>
      </c>
      <c r="J23" s="1541">
        <f t="shared" si="0"/>
        <v>0</v>
      </c>
      <c r="K23" s="1541">
        <f t="shared" si="1"/>
        <v>902</v>
      </c>
      <c r="L23" s="1541">
        <f t="shared" si="2"/>
        <v>942</v>
      </c>
      <c r="M23" s="1541">
        <f t="shared" si="3"/>
        <v>-40</v>
      </c>
    </row>
    <row r="24" spans="1:13" x14ac:dyDescent="0.3">
      <c r="A24" s="1852" t="s">
        <v>2740</v>
      </c>
      <c r="B24" s="1462"/>
      <c r="C24" s="1456">
        <v>23684</v>
      </c>
      <c r="D24" s="1456">
        <v>23722</v>
      </c>
      <c r="E24" s="1471">
        <v>-38</v>
      </c>
      <c r="J24" s="1541">
        <f t="shared" si="0"/>
        <v>0</v>
      </c>
      <c r="K24" s="1541">
        <f t="shared" si="1"/>
        <v>23684</v>
      </c>
      <c r="L24" s="1541">
        <f t="shared" si="2"/>
        <v>23722</v>
      </c>
      <c r="M24" s="1541">
        <f t="shared" si="3"/>
        <v>-38</v>
      </c>
    </row>
    <row r="25" spans="1:13" x14ac:dyDescent="0.3">
      <c r="A25" s="1855" t="s">
        <v>2670</v>
      </c>
      <c r="B25" s="1462"/>
      <c r="C25" s="1456">
        <v>6088</v>
      </c>
      <c r="D25" s="1456">
        <v>6118</v>
      </c>
      <c r="E25" s="1471">
        <v>-30</v>
      </c>
      <c r="J25" s="1541">
        <f t="shared" si="0"/>
        <v>0</v>
      </c>
      <c r="K25" s="1541">
        <f t="shared" si="1"/>
        <v>6088</v>
      </c>
      <c r="L25" s="1541">
        <f t="shared" si="2"/>
        <v>6118</v>
      </c>
      <c r="M25" s="1541">
        <f t="shared" si="3"/>
        <v>-30</v>
      </c>
    </row>
    <row r="26" spans="1:13" x14ac:dyDescent="0.3">
      <c r="A26" s="1852" t="s">
        <v>3240</v>
      </c>
      <c r="B26" s="1462"/>
      <c r="C26" s="1456">
        <v>15418</v>
      </c>
      <c r="D26" s="1456">
        <v>15428</v>
      </c>
      <c r="E26" s="1471">
        <v>-10</v>
      </c>
      <c r="J26" s="1541">
        <f t="shared" si="0"/>
        <v>0</v>
      </c>
      <c r="K26" s="1541">
        <f t="shared" si="1"/>
        <v>15418</v>
      </c>
      <c r="L26" s="1541">
        <f t="shared" si="2"/>
        <v>15428</v>
      </c>
      <c r="M26" s="1541">
        <f t="shared" si="3"/>
        <v>-10</v>
      </c>
    </row>
    <row r="27" spans="1:13" x14ac:dyDescent="0.3">
      <c r="A27" s="1852" t="s">
        <v>3105</v>
      </c>
      <c r="B27" s="1462"/>
      <c r="C27" s="1456">
        <v>13140</v>
      </c>
      <c r="D27" s="1456">
        <v>13145</v>
      </c>
      <c r="E27" s="1471">
        <v>-5</v>
      </c>
      <c r="J27" s="1541">
        <f t="shared" si="0"/>
        <v>0</v>
      </c>
      <c r="K27" s="1541">
        <f t="shared" si="1"/>
        <v>13140</v>
      </c>
      <c r="L27" s="1541">
        <f t="shared" si="2"/>
        <v>13145</v>
      </c>
      <c r="M27" s="1541">
        <f t="shared" si="3"/>
        <v>-5</v>
      </c>
    </row>
    <row r="28" spans="1:13" x14ac:dyDescent="0.3">
      <c r="A28" s="1855" t="s">
        <v>3267</v>
      </c>
      <c r="B28" s="1462"/>
      <c r="C28" s="1456">
        <v>20950</v>
      </c>
      <c r="D28" s="1456">
        <v>20951</v>
      </c>
      <c r="E28" s="1471">
        <v>-1</v>
      </c>
      <c r="J28" s="1541">
        <f t="shared" si="0"/>
        <v>0</v>
      </c>
      <c r="K28" s="1541">
        <f t="shared" si="1"/>
        <v>20950</v>
      </c>
      <c r="L28" s="1541">
        <f t="shared" si="2"/>
        <v>20951</v>
      </c>
      <c r="M28" s="1541">
        <f t="shared" si="3"/>
        <v>-1</v>
      </c>
    </row>
    <row r="29" spans="1:13" x14ac:dyDescent="0.3">
      <c r="A29" s="1852" t="s">
        <v>3010</v>
      </c>
      <c r="B29" s="1462"/>
      <c r="C29" s="1456">
        <v>60269.919999999998</v>
      </c>
      <c r="D29" s="1456">
        <v>60270</v>
      </c>
      <c r="E29" s="1471">
        <v>-0.08</v>
      </c>
      <c r="J29" s="1541">
        <f t="shared" si="0"/>
        <v>0</v>
      </c>
      <c r="K29" s="1541">
        <f t="shared" si="1"/>
        <v>60269.919999999998</v>
      </c>
      <c r="L29" s="1541">
        <f t="shared" si="2"/>
        <v>60270</v>
      </c>
      <c r="M29" s="1541">
        <f t="shared" si="3"/>
        <v>-0.08</v>
      </c>
    </row>
    <row r="30" spans="1:13" x14ac:dyDescent="0.3">
      <c r="A30" s="1852"/>
      <c r="B30" s="1462"/>
      <c r="C30" s="1456"/>
      <c r="D30" s="1456"/>
      <c r="E30" s="1471"/>
      <c r="J30" s="1541"/>
      <c r="K30" s="1541"/>
      <c r="L30" s="1541"/>
      <c r="M30" s="1541">
        <f>SUM(M3:M29)</f>
        <v>-1336431.8999999997</v>
      </c>
    </row>
    <row r="31" spans="1:13" x14ac:dyDescent="0.3">
      <c r="A31" s="1852"/>
      <c r="B31" s="1462"/>
      <c r="C31" s="1456"/>
      <c r="D31" s="1456"/>
      <c r="E31" s="1471"/>
      <c r="J31" s="1541"/>
      <c r="K31" s="1541"/>
      <c r="L31" s="1541"/>
      <c r="M31" s="1541"/>
    </row>
    <row r="32" spans="1:13" x14ac:dyDescent="0.3">
      <c r="A32" s="1852"/>
      <c r="B32" s="1462"/>
      <c r="C32" s="1456"/>
      <c r="D32" s="1456"/>
      <c r="E32" s="1471"/>
      <c r="J32" s="1541"/>
      <c r="K32" s="1541"/>
      <c r="L32" s="1541"/>
      <c r="M32" s="1541"/>
    </row>
    <row r="33" spans="1:13" x14ac:dyDescent="0.3">
      <c r="A33" s="1852"/>
      <c r="B33" s="1462"/>
      <c r="C33" s="1456"/>
      <c r="D33" s="1456"/>
      <c r="E33" s="1471"/>
      <c r="J33" s="1541"/>
      <c r="K33" s="1541"/>
      <c r="L33" s="1541"/>
      <c r="M33" s="1541"/>
    </row>
    <row r="34" spans="1:13" x14ac:dyDescent="0.3">
      <c r="A34" s="1463" t="s">
        <v>2224</v>
      </c>
      <c r="B34" s="1897"/>
      <c r="C34" s="1849"/>
      <c r="D34" s="1849"/>
      <c r="E34" s="1897"/>
      <c r="F34" s="1896">
        <v>2466682.37</v>
      </c>
      <c r="G34" s="1462"/>
      <c r="H34" s="1462"/>
      <c r="I34" s="1896">
        <v>2466682.37</v>
      </c>
      <c r="J34" s="1541">
        <f t="shared" ref="J34:J97" si="4">B34+F34</f>
        <v>2466682.37</v>
      </c>
      <c r="K34" s="1541">
        <f t="shared" ref="K34:K97" si="5">C34+G34</f>
        <v>0</v>
      </c>
      <c r="L34" s="1541">
        <f t="shared" ref="L34:L97" si="6">D34+H34</f>
        <v>0</v>
      </c>
      <c r="M34" s="1541">
        <f t="shared" ref="M34:M97" si="7">E34+I34</f>
        <v>2466682.37</v>
      </c>
    </row>
    <row r="35" spans="1:13" x14ac:dyDescent="0.3">
      <c r="A35" s="1879" t="s">
        <v>3688</v>
      </c>
      <c r="B35" s="1460"/>
      <c r="C35" s="1459">
        <v>16950</v>
      </c>
      <c r="D35" s="1459">
        <v>16950</v>
      </c>
      <c r="E35" s="1460"/>
      <c r="J35" s="1541">
        <f t="shared" si="4"/>
        <v>0</v>
      </c>
      <c r="K35" s="1541">
        <f t="shared" si="5"/>
        <v>16950</v>
      </c>
      <c r="L35" s="1541">
        <f t="shared" si="6"/>
        <v>16950</v>
      </c>
      <c r="M35" s="1541">
        <f t="shared" si="7"/>
        <v>0</v>
      </c>
    </row>
    <row r="36" spans="1:13" x14ac:dyDescent="0.3">
      <c r="A36" s="1852" t="s">
        <v>2508</v>
      </c>
      <c r="B36" s="1462"/>
      <c r="C36" s="1456">
        <v>1178</v>
      </c>
      <c r="D36" s="1456">
        <v>1178</v>
      </c>
      <c r="E36" s="1462"/>
      <c r="J36" s="1541">
        <f t="shared" si="4"/>
        <v>0</v>
      </c>
      <c r="K36" s="1541">
        <f t="shared" si="5"/>
        <v>1178</v>
      </c>
      <c r="L36" s="1541">
        <f t="shared" si="6"/>
        <v>1178</v>
      </c>
      <c r="M36" s="1541">
        <f t="shared" si="7"/>
        <v>0</v>
      </c>
    </row>
    <row r="37" spans="1:13" x14ac:dyDescent="0.3">
      <c r="A37" s="1852" t="s">
        <v>2509</v>
      </c>
      <c r="B37" s="1462"/>
      <c r="C37" s="1456">
        <v>1250</v>
      </c>
      <c r="D37" s="1456">
        <v>1250</v>
      </c>
      <c r="E37" s="1462"/>
      <c r="J37" s="1541">
        <f t="shared" si="4"/>
        <v>0</v>
      </c>
      <c r="K37" s="1541">
        <f t="shared" si="5"/>
        <v>1250</v>
      </c>
      <c r="L37" s="1541">
        <f t="shared" si="6"/>
        <v>1250</v>
      </c>
      <c r="M37" s="1541">
        <f t="shared" si="7"/>
        <v>0</v>
      </c>
    </row>
    <row r="38" spans="1:13" x14ac:dyDescent="0.3">
      <c r="A38" s="1852" t="s">
        <v>2511</v>
      </c>
      <c r="B38" s="1462"/>
      <c r="C38" s="1456">
        <v>1116</v>
      </c>
      <c r="D38" s="1456">
        <v>1116</v>
      </c>
      <c r="E38" s="1462"/>
      <c r="J38" s="1541">
        <f t="shared" si="4"/>
        <v>0</v>
      </c>
      <c r="K38" s="1541">
        <f t="shared" si="5"/>
        <v>1116</v>
      </c>
      <c r="L38" s="1541">
        <f t="shared" si="6"/>
        <v>1116</v>
      </c>
      <c r="M38" s="1541">
        <f t="shared" si="7"/>
        <v>0</v>
      </c>
    </row>
    <row r="39" spans="1:13" x14ac:dyDescent="0.3">
      <c r="A39" s="1852" t="s">
        <v>2512</v>
      </c>
      <c r="B39" s="1462"/>
      <c r="C39" s="1456">
        <v>14178</v>
      </c>
      <c r="D39" s="1456">
        <v>14178</v>
      </c>
      <c r="E39" s="1462"/>
      <c r="J39" s="1541">
        <f t="shared" si="4"/>
        <v>0</v>
      </c>
      <c r="K39" s="1541">
        <f t="shared" si="5"/>
        <v>14178</v>
      </c>
      <c r="L39" s="1541">
        <f t="shared" si="6"/>
        <v>14178</v>
      </c>
      <c r="M39" s="1541">
        <f t="shared" si="7"/>
        <v>0</v>
      </c>
    </row>
    <row r="40" spans="1:13" x14ac:dyDescent="0.3">
      <c r="A40" s="1852" t="s">
        <v>2513</v>
      </c>
      <c r="B40" s="1462"/>
      <c r="C40" s="1456">
        <v>7484</v>
      </c>
      <c r="D40" s="1456">
        <v>7484</v>
      </c>
      <c r="E40" s="1462"/>
      <c r="J40" s="1541">
        <f t="shared" si="4"/>
        <v>0</v>
      </c>
      <c r="K40" s="1541">
        <f t="shared" si="5"/>
        <v>7484</v>
      </c>
      <c r="L40" s="1541">
        <f t="shared" si="6"/>
        <v>7484</v>
      </c>
      <c r="M40" s="1541">
        <f t="shared" si="7"/>
        <v>0</v>
      </c>
    </row>
    <row r="41" spans="1:13" x14ac:dyDescent="0.3">
      <c r="A41" s="1852" t="s">
        <v>2514</v>
      </c>
      <c r="B41" s="1462"/>
      <c r="C41" s="1456">
        <v>530</v>
      </c>
      <c r="D41" s="1456">
        <v>530</v>
      </c>
      <c r="E41" s="1462"/>
      <c r="J41" s="1541">
        <f t="shared" si="4"/>
        <v>0</v>
      </c>
      <c r="K41" s="1541">
        <f t="shared" si="5"/>
        <v>530</v>
      </c>
      <c r="L41" s="1541">
        <f t="shared" si="6"/>
        <v>530</v>
      </c>
      <c r="M41" s="1541">
        <f t="shared" si="7"/>
        <v>0</v>
      </c>
    </row>
    <row r="42" spans="1:13" x14ac:dyDescent="0.3">
      <c r="A42" s="1852" t="s">
        <v>2515</v>
      </c>
      <c r="B42" s="1462"/>
      <c r="C42" s="1456">
        <v>7482</v>
      </c>
      <c r="D42" s="1456">
        <v>7482</v>
      </c>
      <c r="E42" s="1462"/>
      <c r="J42" s="1541">
        <f t="shared" si="4"/>
        <v>0</v>
      </c>
      <c r="K42" s="1541">
        <f t="shared" si="5"/>
        <v>7482</v>
      </c>
      <c r="L42" s="1541">
        <f t="shared" si="6"/>
        <v>7482</v>
      </c>
      <c r="M42" s="1541">
        <f t="shared" si="7"/>
        <v>0</v>
      </c>
    </row>
    <row r="43" spans="1:13" x14ac:dyDescent="0.3">
      <c r="A43" s="1852" t="s">
        <v>2516</v>
      </c>
      <c r="B43" s="1462"/>
      <c r="C43" s="1456">
        <v>190</v>
      </c>
      <c r="D43" s="1456">
        <v>190</v>
      </c>
      <c r="E43" s="1462"/>
      <c r="J43" s="1541">
        <f t="shared" si="4"/>
        <v>0</v>
      </c>
      <c r="K43" s="1541">
        <f t="shared" si="5"/>
        <v>190</v>
      </c>
      <c r="L43" s="1541">
        <f t="shared" si="6"/>
        <v>190</v>
      </c>
      <c r="M43" s="1541">
        <f t="shared" si="7"/>
        <v>0</v>
      </c>
    </row>
    <row r="44" spans="1:13" x14ac:dyDescent="0.3">
      <c r="A44" s="1852" t="s">
        <v>2518</v>
      </c>
      <c r="B44" s="1462"/>
      <c r="C44" s="1456">
        <v>740</v>
      </c>
      <c r="D44" s="1456">
        <v>740</v>
      </c>
      <c r="E44" s="1462"/>
      <c r="J44" s="1541">
        <f t="shared" si="4"/>
        <v>0</v>
      </c>
      <c r="K44" s="1541">
        <f t="shared" si="5"/>
        <v>740</v>
      </c>
      <c r="L44" s="1541">
        <f t="shared" si="6"/>
        <v>740</v>
      </c>
      <c r="M44" s="1541">
        <f t="shared" si="7"/>
        <v>0</v>
      </c>
    </row>
    <row r="45" spans="1:13" x14ac:dyDescent="0.3">
      <c r="A45" s="1852" t="s">
        <v>2519</v>
      </c>
      <c r="B45" s="1462"/>
      <c r="C45" s="1456">
        <v>280</v>
      </c>
      <c r="D45" s="1456">
        <v>280</v>
      </c>
      <c r="E45" s="1462"/>
      <c r="J45" s="1541">
        <f t="shared" si="4"/>
        <v>0</v>
      </c>
      <c r="K45" s="1541">
        <f t="shared" si="5"/>
        <v>280</v>
      </c>
      <c r="L45" s="1541">
        <f t="shared" si="6"/>
        <v>280</v>
      </c>
      <c r="M45" s="1541">
        <f t="shared" si="7"/>
        <v>0</v>
      </c>
    </row>
    <row r="46" spans="1:13" x14ac:dyDescent="0.3">
      <c r="A46" s="1852" t="s">
        <v>2520</v>
      </c>
      <c r="B46" s="1462"/>
      <c r="C46" s="1456">
        <v>350</v>
      </c>
      <c r="D46" s="1456">
        <v>350</v>
      </c>
      <c r="E46" s="1462"/>
      <c r="J46" s="1541">
        <f t="shared" si="4"/>
        <v>0</v>
      </c>
      <c r="K46" s="1541">
        <f t="shared" si="5"/>
        <v>350</v>
      </c>
      <c r="L46" s="1541">
        <f t="shared" si="6"/>
        <v>350</v>
      </c>
      <c r="M46" s="1541">
        <f t="shared" si="7"/>
        <v>0</v>
      </c>
    </row>
    <row r="47" spans="1:13" x14ac:dyDescent="0.3">
      <c r="A47" s="1852" t="s">
        <v>2521</v>
      </c>
      <c r="B47" s="1462"/>
      <c r="C47" s="1456">
        <v>1738</v>
      </c>
      <c r="D47" s="1456">
        <v>1738</v>
      </c>
      <c r="E47" s="1462"/>
      <c r="J47" s="1541">
        <f t="shared" si="4"/>
        <v>0</v>
      </c>
      <c r="K47" s="1541">
        <f t="shared" si="5"/>
        <v>1738</v>
      </c>
      <c r="L47" s="1541">
        <f t="shared" si="6"/>
        <v>1738</v>
      </c>
      <c r="M47" s="1541">
        <f t="shared" si="7"/>
        <v>0</v>
      </c>
    </row>
    <row r="48" spans="1:13" x14ac:dyDescent="0.3">
      <c r="A48" s="1852" t="s">
        <v>2522</v>
      </c>
      <c r="B48" s="1462"/>
      <c r="C48" s="1456">
        <v>1030</v>
      </c>
      <c r="D48" s="1456">
        <v>1030</v>
      </c>
      <c r="E48" s="1462"/>
      <c r="J48" s="1541">
        <f t="shared" si="4"/>
        <v>0</v>
      </c>
      <c r="K48" s="1541">
        <f t="shared" si="5"/>
        <v>1030</v>
      </c>
      <c r="L48" s="1541">
        <f t="shared" si="6"/>
        <v>1030</v>
      </c>
      <c r="M48" s="1541">
        <f t="shared" si="7"/>
        <v>0</v>
      </c>
    </row>
    <row r="49" spans="1:13" x14ac:dyDescent="0.3">
      <c r="A49" s="1852" t="s">
        <v>2523</v>
      </c>
      <c r="B49" s="1462"/>
      <c r="C49" s="1456">
        <v>210</v>
      </c>
      <c r="D49" s="1456">
        <v>210</v>
      </c>
      <c r="E49" s="1462"/>
      <c r="J49" s="1541">
        <f t="shared" si="4"/>
        <v>0</v>
      </c>
      <c r="K49" s="1541">
        <f t="shared" si="5"/>
        <v>210</v>
      </c>
      <c r="L49" s="1541">
        <f t="shared" si="6"/>
        <v>210</v>
      </c>
      <c r="M49" s="1541">
        <f t="shared" si="7"/>
        <v>0</v>
      </c>
    </row>
    <row r="50" spans="1:13" x14ac:dyDescent="0.3">
      <c r="A50" s="1852" t="s">
        <v>2524</v>
      </c>
      <c r="B50" s="1462"/>
      <c r="C50" s="1456">
        <v>332</v>
      </c>
      <c r="D50" s="1456">
        <v>332</v>
      </c>
      <c r="E50" s="1462"/>
      <c r="J50" s="1541">
        <f t="shared" si="4"/>
        <v>0</v>
      </c>
      <c r="K50" s="1541">
        <f t="shared" si="5"/>
        <v>332</v>
      </c>
      <c r="L50" s="1541">
        <f t="shared" si="6"/>
        <v>332</v>
      </c>
      <c r="M50" s="1541">
        <f t="shared" si="7"/>
        <v>0</v>
      </c>
    </row>
    <row r="51" spans="1:13" x14ac:dyDescent="0.3">
      <c r="A51" s="1852" t="s">
        <v>2525</v>
      </c>
      <c r="B51" s="1462"/>
      <c r="C51" s="1456">
        <v>2818</v>
      </c>
      <c r="D51" s="1456">
        <v>2818</v>
      </c>
      <c r="E51" s="1462"/>
      <c r="J51" s="1541">
        <f t="shared" si="4"/>
        <v>0</v>
      </c>
      <c r="K51" s="1541">
        <f t="shared" si="5"/>
        <v>2818</v>
      </c>
      <c r="L51" s="1541">
        <f t="shared" si="6"/>
        <v>2818</v>
      </c>
      <c r="M51" s="1541">
        <f t="shared" si="7"/>
        <v>0</v>
      </c>
    </row>
    <row r="52" spans="1:13" x14ac:dyDescent="0.3">
      <c r="A52" s="1852" t="s">
        <v>2527</v>
      </c>
      <c r="B52" s="1462"/>
      <c r="C52" s="1456">
        <v>1592</v>
      </c>
      <c r="D52" s="1456">
        <v>1592</v>
      </c>
      <c r="E52" s="1462"/>
      <c r="J52" s="1541">
        <f t="shared" si="4"/>
        <v>0</v>
      </c>
      <c r="K52" s="1541">
        <f t="shared" si="5"/>
        <v>1592</v>
      </c>
      <c r="L52" s="1541">
        <f t="shared" si="6"/>
        <v>1592</v>
      </c>
      <c r="M52" s="1541">
        <f t="shared" si="7"/>
        <v>0</v>
      </c>
    </row>
    <row r="53" spans="1:13" x14ac:dyDescent="0.3">
      <c r="A53" s="1852" t="s">
        <v>2528</v>
      </c>
      <c r="B53" s="1462"/>
      <c r="C53" s="1456">
        <v>400</v>
      </c>
      <c r="D53" s="1456">
        <v>400</v>
      </c>
      <c r="E53" s="1462"/>
      <c r="J53" s="1541">
        <f t="shared" si="4"/>
        <v>0</v>
      </c>
      <c r="K53" s="1541">
        <f t="shared" si="5"/>
        <v>400</v>
      </c>
      <c r="L53" s="1541">
        <f t="shared" si="6"/>
        <v>400</v>
      </c>
      <c r="M53" s="1541">
        <f t="shared" si="7"/>
        <v>0</v>
      </c>
    </row>
    <row r="54" spans="1:13" x14ac:dyDescent="0.3">
      <c r="A54" s="1852" t="s">
        <v>2529</v>
      </c>
      <c r="B54" s="1462"/>
      <c r="C54" s="1456">
        <v>200</v>
      </c>
      <c r="D54" s="1456">
        <v>200</v>
      </c>
      <c r="E54" s="1462"/>
      <c r="J54" s="1541">
        <f t="shared" si="4"/>
        <v>0</v>
      </c>
      <c r="K54" s="1541">
        <f t="shared" si="5"/>
        <v>200</v>
      </c>
      <c r="L54" s="1541">
        <f t="shared" si="6"/>
        <v>200</v>
      </c>
      <c r="M54" s="1541">
        <f t="shared" si="7"/>
        <v>0</v>
      </c>
    </row>
    <row r="55" spans="1:13" x14ac:dyDescent="0.3">
      <c r="A55" s="1852" t="s">
        <v>2530</v>
      </c>
      <c r="B55" s="1462"/>
      <c r="C55" s="1456">
        <v>356</v>
      </c>
      <c r="D55" s="1456">
        <v>356</v>
      </c>
      <c r="E55" s="1462"/>
      <c r="J55" s="1541">
        <f t="shared" si="4"/>
        <v>0</v>
      </c>
      <c r="K55" s="1541">
        <f t="shared" si="5"/>
        <v>356</v>
      </c>
      <c r="L55" s="1541">
        <f t="shared" si="6"/>
        <v>356</v>
      </c>
      <c r="M55" s="1541">
        <f t="shared" si="7"/>
        <v>0</v>
      </c>
    </row>
    <row r="56" spans="1:13" x14ac:dyDescent="0.3">
      <c r="A56" s="1852" t="s">
        <v>2531</v>
      </c>
      <c r="B56" s="1462"/>
      <c r="C56" s="1456">
        <v>688</v>
      </c>
      <c r="D56" s="1456">
        <v>688</v>
      </c>
      <c r="E56" s="1462"/>
      <c r="J56" s="1541">
        <f t="shared" si="4"/>
        <v>0</v>
      </c>
      <c r="K56" s="1541">
        <f t="shared" si="5"/>
        <v>688</v>
      </c>
      <c r="L56" s="1541">
        <f t="shared" si="6"/>
        <v>688</v>
      </c>
      <c r="M56" s="1541">
        <f t="shared" si="7"/>
        <v>0</v>
      </c>
    </row>
    <row r="57" spans="1:13" x14ac:dyDescent="0.3">
      <c r="A57" s="1855" t="s">
        <v>2532</v>
      </c>
      <c r="B57" s="1462"/>
      <c r="C57" s="1456">
        <v>3906</v>
      </c>
      <c r="D57" s="1456">
        <v>3906</v>
      </c>
      <c r="E57" s="1462"/>
      <c r="J57" s="1541">
        <f t="shared" si="4"/>
        <v>0</v>
      </c>
      <c r="K57" s="1541">
        <f t="shared" si="5"/>
        <v>3906</v>
      </c>
      <c r="L57" s="1541">
        <f t="shared" si="6"/>
        <v>3906</v>
      </c>
      <c r="M57" s="1541">
        <f t="shared" si="7"/>
        <v>0</v>
      </c>
    </row>
    <row r="58" spans="1:13" x14ac:dyDescent="0.3">
      <c r="A58" s="1852" t="s">
        <v>2533</v>
      </c>
      <c r="B58" s="1462"/>
      <c r="C58" s="1456">
        <v>3128</v>
      </c>
      <c r="D58" s="1456">
        <v>3128</v>
      </c>
      <c r="E58" s="1462"/>
      <c r="J58" s="1541">
        <f t="shared" si="4"/>
        <v>0</v>
      </c>
      <c r="K58" s="1541">
        <f t="shared" si="5"/>
        <v>3128</v>
      </c>
      <c r="L58" s="1541">
        <f t="shared" si="6"/>
        <v>3128</v>
      </c>
      <c r="M58" s="1541">
        <f t="shared" si="7"/>
        <v>0</v>
      </c>
    </row>
    <row r="59" spans="1:13" x14ac:dyDescent="0.3">
      <c r="A59" s="1852" t="s">
        <v>2534</v>
      </c>
      <c r="B59" s="1462"/>
      <c r="C59" s="1456">
        <v>11506</v>
      </c>
      <c r="D59" s="1456">
        <v>11506</v>
      </c>
      <c r="E59" s="1462"/>
      <c r="J59" s="1541">
        <f t="shared" si="4"/>
        <v>0</v>
      </c>
      <c r="K59" s="1541">
        <f t="shared" si="5"/>
        <v>11506</v>
      </c>
      <c r="L59" s="1541">
        <f t="shared" si="6"/>
        <v>11506</v>
      </c>
      <c r="M59" s="1541">
        <f t="shared" si="7"/>
        <v>0</v>
      </c>
    </row>
    <row r="60" spans="1:13" x14ac:dyDescent="0.3">
      <c r="A60" s="1855" t="s">
        <v>2535</v>
      </c>
      <c r="B60" s="1462"/>
      <c r="C60" s="1456">
        <v>54724</v>
      </c>
      <c r="D60" s="1456">
        <v>54724</v>
      </c>
      <c r="E60" s="1462"/>
      <c r="J60" s="1541">
        <f t="shared" si="4"/>
        <v>0</v>
      </c>
      <c r="K60" s="1541">
        <f t="shared" si="5"/>
        <v>54724</v>
      </c>
      <c r="L60" s="1541">
        <f t="shared" si="6"/>
        <v>54724</v>
      </c>
      <c r="M60" s="1541">
        <f t="shared" si="7"/>
        <v>0</v>
      </c>
    </row>
    <row r="61" spans="1:13" x14ac:dyDescent="0.3">
      <c r="A61" s="1852" t="s">
        <v>2536</v>
      </c>
      <c r="B61" s="1462"/>
      <c r="C61" s="1456">
        <v>55350</v>
      </c>
      <c r="D61" s="1456">
        <v>55350</v>
      </c>
      <c r="E61" s="1462"/>
      <c r="J61" s="1541">
        <f t="shared" si="4"/>
        <v>0</v>
      </c>
      <c r="K61" s="1541">
        <f t="shared" si="5"/>
        <v>55350</v>
      </c>
      <c r="L61" s="1541">
        <f t="shared" si="6"/>
        <v>55350</v>
      </c>
      <c r="M61" s="1541">
        <f t="shared" si="7"/>
        <v>0</v>
      </c>
    </row>
    <row r="62" spans="1:13" x14ac:dyDescent="0.3">
      <c r="A62" s="1852" t="s">
        <v>2537</v>
      </c>
      <c r="B62" s="1462"/>
      <c r="C62" s="1456">
        <v>400</v>
      </c>
      <c r="D62" s="1456">
        <v>400</v>
      </c>
      <c r="E62" s="1462"/>
      <c r="J62" s="1541">
        <f t="shared" si="4"/>
        <v>0</v>
      </c>
      <c r="K62" s="1541">
        <f t="shared" si="5"/>
        <v>400</v>
      </c>
      <c r="L62" s="1541">
        <f t="shared" si="6"/>
        <v>400</v>
      </c>
      <c r="M62" s="1541">
        <f t="shared" si="7"/>
        <v>0</v>
      </c>
    </row>
    <row r="63" spans="1:13" x14ac:dyDescent="0.3">
      <c r="A63" s="1852" t="s">
        <v>2538</v>
      </c>
      <c r="B63" s="1462"/>
      <c r="C63" s="1456">
        <v>3470</v>
      </c>
      <c r="D63" s="1456">
        <v>3470</v>
      </c>
      <c r="E63" s="1462"/>
      <c r="J63" s="1541">
        <f t="shared" si="4"/>
        <v>0</v>
      </c>
      <c r="K63" s="1541">
        <f t="shared" si="5"/>
        <v>3470</v>
      </c>
      <c r="L63" s="1541">
        <f t="shared" si="6"/>
        <v>3470</v>
      </c>
      <c r="M63" s="1541">
        <f t="shared" si="7"/>
        <v>0</v>
      </c>
    </row>
    <row r="64" spans="1:13" x14ac:dyDescent="0.3">
      <c r="A64" s="1852" t="s">
        <v>2539</v>
      </c>
      <c r="B64" s="1462"/>
      <c r="C64" s="1456">
        <v>2450</v>
      </c>
      <c r="D64" s="1456">
        <v>2450</v>
      </c>
      <c r="E64" s="1462"/>
      <c r="J64" s="1541">
        <f t="shared" si="4"/>
        <v>0</v>
      </c>
      <c r="K64" s="1541">
        <f t="shared" si="5"/>
        <v>2450</v>
      </c>
      <c r="L64" s="1541">
        <f t="shared" si="6"/>
        <v>2450</v>
      </c>
      <c r="M64" s="1541">
        <f t="shared" si="7"/>
        <v>0</v>
      </c>
    </row>
    <row r="65" spans="1:13" x14ac:dyDescent="0.3">
      <c r="A65" s="1852" t="s">
        <v>2541</v>
      </c>
      <c r="B65" s="1462"/>
      <c r="C65" s="1456">
        <v>340.36</v>
      </c>
      <c r="D65" s="1456">
        <v>340.36</v>
      </c>
      <c r="E65" s="1462"/>
      <c r="J65" s="1541">
        <f t="shared" si="4"/>
        <v>0</v>
      </c>
      <c r="K65" s="1541">
        <f t="shared" si="5"/>
        <v>340.36</v>
      </c>
      <c r="L65" s="1541">
        <f t="shared" si="6"/>
        <v>340.36</v>
      </c>
      <c r="M65" s="1541">
        <f t="shared" si="7"/>
        <v>0</v>
      </c>
    </row>
    <row r="66" spans="1:13" x14ac:dyDescent="0.3">
      <c r="A66" s="1852" t="s">
        <v>2542</v>
      </c>
      <c r="B66" s="1462"/>
      <c r="C66" s="1456">
        <v>10610</v>
      </c>
      <c r="D66" s="1456">
        <v>10610</v>
      </c>
      <c r="E66" s="1462"/>
      <c r="J66" s="1541">
        <f t="shared" si="4"/>
        <v>0</v>
      </c>
      <c r="K66" s="1541">
        <f t="shared" si="5"/>
        <v>10610</v>
      </c>
      <c r="L66" s="1541">
        <f t="shared" si="6"/>
        <v>10610</v>
      </c>
      <c r="M66" s="1541">
        <f t="shared" si="7"/>
        <v>0</v>
      </c>
    </row>
    <row r="67" spans="1:13" x14ac:dyDescent="0.3">
      <c r="A67" s="1852" t="s">
        <v>2543</v>
      </c>
      <c r="B67" s="1462"/>
      <c r="C67" s="1456">
        <v>1590</v>
      </c>
      <c r="D67" s="1456">
        <v>1590</v>
      </c>
      <c r="E67" s="1462"/>
      <c r="J67" s="1541">
        <f t="shared" si="4"/>
        <v>0</v>
      </c>
      <c r="K67" s="1541">
        <f t="shared" si="5"/>
        <v>1590</v>
      </c>
      <c r="L67" s="1541">
        <f t="shared" si="6"/>
        <v>1590</v>
      </c>
      <c r="M67" s="1541">
        <f t="shared" si="7"/>
        <v>0</v>
      </c>
    </row>
    <row r="68" spans="1:13" x14ac:dyDescent="0.3">
      <c r="A68" s="1855" t="s">
        <v>2544</v>
      </c>
      <c r="B68" s="1462"/>
      <c r="C68" s="1456">
        <v>4342</v>
      </c>
      <c r="D68" s="1456">
        <v>4342</v>
      </c>
      <c r="E68" s="1462"/>
      <c r="J68" s="1541">
        <f t="shared" si="4"/>
        <v>0</v>
      </c>
      <c r="K68" s="1541">
        <f t="shared" si="5"/>
        <v>4342</v>
      </c>
      <c r="L68" s="1541">
        <f t="shared" si="6"/>
        <v>4342</v>
      </c>
      <c r="M68" s="1541">
        <f t="shared" si="7"/>
        <v>0</v>
      </c>
    </row>
    <row r="69" spans="1:13" x14ac:dyDescent="0.3">
      <c r="A69" s="1852" t="s">
        <v>2545</v>
      </c>
      <c r="B69" s="1462"/>
      <c r="C69" s="1456">
        <v>13022</v>
      </c>
      <c r="D69" s="1456">
        <v>13022</v>
      </c>
      <c r="E69" s="1462"/>
      <c r="J69" s="1541">
        <f t="shared" si="4"/>
        <v>0</v>
      </c>
      <c r="K69" s="1541">
        <f t="shared" si="5"/>
        <v>13022</v>
      </c>
      <c r="L69" s="1541">
        <f t="shared" si="6"/>
        <v>13022</v>
      </c>
      <c r="M69" s="1541">
        <f t="shared" si="7"/>
        <v>0</v>
      </c>
    </row>
    <row r="70" spans="1:13" x14ac:dyDescent="0.3">
      <c r="A70" s="1852" t="s">
        <v>2546</v>
      </c>
      <c r="B70" s="1462"/>
      <c r="C70" s="1456">
        <v>1088</v>
      </c>
      <c r="D70" s="1456">
        <v>1088</v>
      </c>
      <c r="E70" s="1462"/>
      <c r="J70" s="1541">
        <f t="shared" si="4"/>
        <v>0</v>
      </c>
      <c r="K70" s="1541">
        <f t="shared" si="5"/>
        <v>1088</v>
      </c>
      <c r="L70" s="1541">
        <f t="shared" si="6"/>
        <v>1088</v>
      </c>
      <c r="M70" s="1541">
        <f t="shared" si="7"/>
        <v>0</v>
      </c>
    </row>
    <row r="71" spans="1:13" x14ac:dyDescent="0.3">
      <c r="A71" s="1852" t="s">
        <v>2547</v>
      </c>
      <c r="B71" s="1462"/>
      <c r="C71" s="1456">
        <v>773</v>
      </c>
      <c r="D71" s="1456">
        <v>773</v>
      </c>
      <c r="E71" s="1462"/>
      <c r="J71" s="1541">
        <f t="shared" si="4"/>
        <v>0</v>
      </c>
      <c r="K71" s="1541">
        <f t="shared" si="5"/>
        <v>773</v>
      </c>
      <c r="L71" s="1541">
        <f t="shared" si="6"/>
        <v>773</v>
      </c>
      <c r="M71" s="1541">
        <f t="shared" si="7"/>
        <v>0</v>
      </c>
    </row>
    <row r="72" spans="1:13" x14ac:dyDescent="0.3">
      <c r="A72" s="1852" t="s">
        <v>2548</v>
      </c>
      <c r="B72" s="1462"/>
      <c r="C72" s="1456">
        <v>200</v>
      </c>
      <c r="D72" s="1456">
        <v>200</v>
      </c>
      <c r="E72" s="1462"/>
      <c r="J72" s="1541">
        <f t="shared" si="4"/>
        <v>0</v>
      </c>
      <c r="K72" s="1541">
        <f t="shared" si="5"/>
        <v>200</v>
      </c>
      <c r="L72" s="1541">
        <f t="shared" si="6"/>
        <v>200</v>
      </c>
      <c r="M72" s="1541">
        <f t="shared" si="7"/>
        <v>0</v>
      </c>
    </row>
    <row r="73" spans="1:13" x14ac:dyDescent="0.3">
      <c r="A73" s="1855" t="s">
        <v>2549</v>
      </c>
      <c r="B73" s="1462"/>
      <c r="C73" s="1456">
        <v>420</v>
      </c>
      <c r="D73" s="1456">
        <v>420</v>
      </c>
      <c r="E73" s="1462"/>
      <c r="J73" s="1541">
        <f t="shared" si="4"/>
        <v>0</v>
      </c>
      <c r="K73" s="1541">
        <f t="shared" si="5"/>
        <v>420</v>
      </c>
      <c r="L73" s="1541">
        <f t="shared" si="6"/>
        <v>420</v>
      </c>
      <c r="M73" s="1541">
        <f t="shared" si="7"/>
        <v>0</v>
      </c>
    </row>
    <row r="74" spans="1:13" x14ac:dyDescent="0.3">
      <c r="A74" s="1852" t="s">
        <v>2550</v>
      </c>
      <c r="B74" s="1462"/>
      <c r="C74" s="1456">
        <v>472</v>
      </c>
      <c r="D74" s="1456">
        <v>472</v>
      </c>
      <c r="E74" s="1462"/>
      <c r="J74" s="1541">
        <f t="shared" si="4"/>
        <v>0</v>
      </c>
      <c r="K74" s="1541">
        <f t="shared" si="5"/>
        <v>472</v>
      </c>
      <c r="L74" s="1541">
        <f t="shared" si="6"/>
        <v>472</v>
      </c>
      <c r="M74" s="1541">
        <f t="shared" si="7"/>
        <v>0</v>
      </c>
    </row>
    <row r="75" spans="1:13" x14ac:dyDescent="0.3">
      <c r="A75" s="1852" t="s">
        <v>2551</v>
      </c>
      <c r="B75" s="1462"/>
      <c r="C75" s="1456">
        <v>140</v>
      </c>
      <c r="D75" s="1456">
        <v>140</v>
      </c>
      <c r="E75" s="1462"/>
      <c r="J75" s="1541">
        <f t="shared" si="4"/>
        <v>0</v>
      </c>
      <c r="K75" s="1541">
        <f t="shared" si="5"/>
        <v>140</v>
      </c>
      <c r="L75" s="1541">
        <f t="shared" si="6"/>
        <v>140</v>
      </c>
      <c r="M75" s="1541">
        <f t="shared" si="7"/>
        <v>0</v>
      </c>
    </row>
    <row r="76" spans="1:13" x14ac:dyDescent="0.3">
      <c r="A76" s="1852" t="s">
        <v>2552</v>
      </c>
      <c r="B76" s="1462"/>
      <c r="C76" s="1456">
        <v>470</v>
      </c>
      <c r="D76" s="1456">
        <v>470</v>
      </c>
      <c r="E76" s="1462"/>
      <c r="J76" s="1541">
        <f t="shared" si="4"/>
        <v>0</v>
      </c>
      <c r="K76" s="1541">
        <f t="shared" si="5"/>
        <v>470</v>
      </c>
      <c r="L76" s="1541">
        <f t="shared" si="6"/>
        <v>470</v>
      </c>
      <c r="M76" s="1541">
        <f t="shared" si="7"/>
        <v>0</v>
      </c>
    </row>
    <row r="77" spans="1:13" x14ac:dyDescent="0.3">
      <c r="A77" s="1852" t="s">
        <v>2553</v>
      </c>
      <c r="B77" s="1462"/>
      <c r="C77" s="1456">
        <v>520</v>
      </c>
      <c r="D77" s="1456">
        <v>520</v>
      </c>
      <c r="E77" s="1462"/>
      <c r="J77" s="1541">
        <f t="shared" si="4"/>
        <v>0</v>
      </c>
      <c r="K77" s="1541">
        <f t="shared" si="5"/>
        <v>520</v>
      </c>
      <c r="L77" s="1541">
        <f t="shared" si="6"/>
        <v>520</v>
      </c>
      <c r="M77" s="1541">
        <f t="shared" si="7"/>
        <v>0</v>
      </c>
    </row>
    <row r="78" spans="1:13" x14ac:dyDescent="0.3">
      <c r="A78" s="1852" t="s">
        <v>2554</v>
      </c>
      <c r="B78" s="1462"/>
      <c r="C78" s="1456">
        <v>27030</v>
      </c>
      <c r="D78" s="1456">
        <v>27030</v>
      </c>
      <c r="E78" s="1462"/>
      <c r="J78" s="1541">
        <f t="shared" si="4"/>
        <v>0</v>
      </c>
      <c r="K78" s="1541">
        <f t="shared" si="5"/>
        <v>27030</v>
      </c>
      <c r="L78" s="1541">
        <f t="shared" si="6"/>
        <v>27030</v>
      </c>
      <c r="M78" s="1541">
        <f t="shared" si="7"/>
        <v>0</v>
      </c>
    </row>
    <row r="79" spans="1:13" x14ac:dyDescent="0.3">
      <c r="A79" s="1852" t="s">
        <v>2555</v>
      </c>
      <c r="B79" s="1462"/>
      <c r="C79" s="1456">
        <v>6300</v>
      </c>
      <c r="D79" s="1456">
        <v>6300</v>
      </c>
      <c r="E79" s="1462"/>
      <c r="J79" s="1541">
        <f t="shared" si="4"/>
        <v>0</v>
      </c>
      <c r="K79" s="1541">
        <f t="shared" si="5"/>
        <v>6300</v>
      </c>
      <c r="L79" s="1541">
        <f t="shared" si="6"/>
        <v>6300</v>
      </c>
      <c r="M79" s="1541">
        <f t="shared" si="7"/>
        <v>0</v>
      </c>
    </row>
    <row r="80" spans="1:13" x14ac:dyDescent="0.3">
      <c r="A80" s="1852" t="s">
        <v>2556</v>
      </c>
      <c r="B80" s="1462"/>
      <c r="C80" s="1456">
        <v>1560</v>
      </c>
      <c r="D80" s="1456">
        <v>1560</v>
      </c>
      <c r="E80" s="1462"/>
      <c r="J80" s="1541">
        <f t="shared" si="4"/>
        <v>0</v>
      </c>
      <c r="K80" s="1541">
        <f t="shared" si="5"/>
        <v>1560</v>
      </c>
      <c r="L80" s="1541">
        <f t="shared" si="6"/>
        <v>1560</v>
      </c>
      <c r="M80" s="1541">
        <f t="shared" si="7"/>
        <v>0</v>
      </c>
    </row>
    <row r="81" spans="1:13" x14ac:dyDescent="0.3">
      <c r="A81" s="1855" t="s">
        <v>2557</v>
      </c>
      <c r="B81" s="1462"/>
      <c r="C81" s="1456">
        <v>24600.06</v>
      </c>
      <c r="D81" s="1456">
        <v>24600.06</v>
      </c>
      <c r="E81" s="1462"/>
      <c r="J81" s="1541">
        <f t="shared" si="4"/>
        <v>0</v>
      </c>
      <c r="K81" s="1541">
        <f t="shared" si="5"/>
        <v>24600.06</v>
      </c>
      <c r="L81" s="1541">
        <f t="shared" si="6"/>
        <v>24600.06</v>
      </c>
      <c r="M81" s="1541">
        <f t="shared" si="7"/>
        <v>0</v>
      </c>
    </row>
    <row r="82" spans="1:13" x14ac:dyDescent="0.3">
      <c r="A82" s="1855" t="s">
        <v>2558</v>
      </c>
      <c r="B82" s="1462"/>
      <c r="C82" s="1456">
        <v>950</v>
      </c>
      <c r="D82" s="1456">
        <v>950</v>
      </c>
      <c r="E82" s="1462"/>
      <c r="J82" s="1541">
        <f t="shared" si="4"/>
        <v>0</v>
      </c>
      <c r="K82" s="1541">
        <f t="shared" si="5"/>
        <v>950</v>
      </c>
      <c r="L82" s="1541">
        <f t="shared" si="6"/>
        <v>950</v>
      </c>
      <c r="M82" s="1541">
        <f t="shared" si="7"/>
        <v>0</v>
      </c>
    </row>
    <row r="83" spans="1:13" x14ac:dyDescent="0.3">
      <c r="A83" s="1852" t="s">
        <v>2559</v>
      </c>
      <c r="B83" s="1462"/>
      <c r="C83" s="1456">
        <v>14628</v>
      </c>
      <c r="D83" s="1456">
        <v>14628</v>
      </c>
      <c r="E83" s="1462"/>
      <c r="J83" s="1541">
        <f t="shared" si="4"/>
        <v>0</v>
      </c>
      <c r="K83" s="1541">
        <f t="shared" si="5"/>
        <v>14628</v>
      </c>
      <c r="L83" s="1541">
        <f t="shared" si="6"/>
        <v>14628</v>
      </c>
      <c r="M83" s="1541">
        <f t="shared" si="7"/>
        <v>0</v>
      </c>
    </row>
    <row r="84" spans="1:13" x14ac:dyDescent="0.3">
      <c r="A84" s="1852" t="s">
        <v>2560</v>
      </c>
      <c r="B84" s="1462"/>
      <c r="C84" s="1456">
        <v>855</v>
      </c>
      <c r="D84" s="1456">
        <v>855</v>
      </c>
      <c r="E84" s="1462"/>
      <c r="J84" s="1541">
        <f t="shared" si="4"/>
        <v>0</v>
      </c>
      <c r="K84" s="1541">
        <f t="shared" si="5"/>
        <v>855</v>
      </c>
      <c r="L84" s="1541">
        <f t="shared" si="6"/>
        <v>855</v>
      </c>
      <c r="M84" s="1541">
        <f t="shared" si="7"/>
        <v>0</v>
      </c>
    </row>
    <row r="85" spans="1:13" x14ac:dyDescent="0.3">
      <c r="A85" s="1852" t="s">
        <v>2561</v>
      </c>
      <c r="B85" s="1462"/>
      <c r="C85" s="1456">
        <v>420</v>
      </c>
      <c r="D85" s="1456">
        <v>420</v>
      </c>
      <c r="E85" s="1462"/>
      <c r="J85" s="1541">
        <f t="shared" si="4"/>
        <v>0</v>
      </c>
      <c r="K85" s="1541">
        <f t="shared" si="5"/>
        <v>420</v>
      </c>
      <c r="L85" s="1541">
        <f t="shared" si="6"/>
        <v>420</v>
      </c>
      <c r="M85" s="1541">
        <f t="shared" si="7"/>
        <v>0</v>
      </c>
    </row>
    <row r="86" spans="1:13" x14ac:dyDescent="0.3">
      <c r="A86" s="1852" t="s">
        <v>2562</v>
      </c>
      <c r="B86" s="1462"/>
      <c r="C86" s="1456">
        <v>472</v>
      </c>
      <c r="D86" s="1456">
        <v>472</v>
      </c>
      <c r="E86" s="1462"/>
      <c r="J86" s="1541">
        <f t="shared" si="4"/>
        <v>0</v>
      </c>
      <c r="K86" s="1541">
        <f t="shared" si="5"/>
        <v>472</v>
      </c>
      <c r="L86" s="1541">
        <f t="shared" si="6"/>
        <v>472</v>
      </c>
      <c r="M86" s="1541">
        <f t="shared" si="7"/>
        <v>0</v>
      </c>
    </row>
    <row r="87" spans="1:13" x14ac:dyDescent="0.3">
      <c r="A87" s="1852" t="s">
        <v>2563</v>
      </c>
      <c r="B87" s="1462"/>
      <c r="C87" s="1456">
        <v>1530</v>
      </c>
      <c r="D87" s="1456">
        <v>1530</v>
      </c>
      <c r="E87" s="1462"/>
      <c r="J87" s="1541">
        <f t="shared" si="4"/>
        <v>0</v>
      </c>
      <c r="K87" s="1541">
        <f t="shared" si="5"/>
        <v>1530</v>
      </c>
      <c r="L87" s="1541">
        <f t="shared" si="6"/>
        <v>1530</v>
      </c>
      <c r="M87" s="1541">
        <f t="shared" si="7"/>
        <v>0</v>
      </c>
    </row>
    <row r="88" spans="1:13" x14ac:dyDescent="0.3">
      <c r="A88" s="1852" t="s">
        <v>2564</v>
      </c>
      <c r="B88" s="1462"/>
      <c r="C88" s="1456">
        <v>3260</v>
      </c>
      <c r="D88" s="1456">
        <v>3260</v>
      </c>
      <c r="E88" s="1462"/>
      <c r="J88" s="1541">
        <f t="shared" si="4"/>
        <v>0</v>
      </c>
      <c r="K88" s="1541">
        <f t="shared" si="5"/>
        <v>3260</v>
      </c>
      <c r="L88" s="1541">
        <f t="shared" si="6"/>
        <v>3260</v>
      </c>
      <c r="M88" s="1541">
        <f t="shared" si="7"/>
        <v>0</v>
      </c>
    </row>
    <row r="89" spans="1:13" x14ac:dyDescent="0.3">
      <c r="A89" s="1852" t="s">
        <v>2567</v>
      </c>
      <c r="B89" s="1462"/>
      <c r="C89" s="1456">
        <v>200</v>
      </c>
      <c r="D89" s="1456">
        <v>200</v>
      </c>
      <c r="E89" s="1462"/>
      <c r="J89" s="1541">
        <f t="shared" si="4"/>
        <v>0</v>
      </c>
      <c r="K89" s="1541">
        <f t="shared" si="5"/>
        <v>200</v>
      </c>
      <c r="L89" s="1541">
        <f t="shared" si="6"/>
        <v>200</v>
      </c>
      <c r="M89" s="1541">
        <f t="shared" si="7"/>
        <v>0</v>
      </c>
    </row>
    <row r="90" spans="1:13" x14ac:dyDescent="0.3">
      <c r="A90" s="1852" t="s">
        <v>2568</v>
      </c>
      <c r="B90" s="1462"/>
      <c r="C90" s="1456">
        <v>29635</v>
      </c>
      <c r="D90" s="1456">
        <v>29635</v>
      </c>
      <c r="E90" s="1462"/>
      <c r="J90" s="1541">
        <f t="shared" si="4"/>
        <v>0</v>
      </c>
      <c r="K90" s="1541">
        <f t="shared" si="5"/>
        <v>29635</v>
      </c>
      <c r="L90" s="1541">
        <f t="shared" si="6"/>
        <v>29635</v>
      </c>
      <c r="M90" s="1541">
        <f t="shared" si="7"/>
        <v>0</v>
      </c>
    </row>
    <row r="91" spans="1:13" x14ac:dyDescent="0.3">
      <c r="A91" s="1852" t="s">
        <v>2569</v>
      </c>
      <c r="B91" s="1462"/>
      <c r="C91" s="1456">
        <v>2100</v>
      </c>
      <c r="D91" s="1456">
        <v>2100</v>
      </c>
      <c r="E91" s="1462"/>
      <c r="J91" s="1541">
        <f t="shared" si="4"/>
        <v>0</v>
      </c>
      <c r="K91" s="1541">
        <f t="shared" si="5"/>
        <v>2100</v>
      </c>
      <c r="L91" s="1541">
        <f t="shared" si="6"/>
        <v>2100</v>
      </c>
      <c r="M91" s="1541">
        <f t="shared" si="7"/>
        <v>0</v>
      </c>
    </row>
    <row r="92" spans="1:13" x14ac:dyDescent="0.3">
      <c r="A92" s="1852" t="s">
        <v>2570</v>
      </c>
      <c r="B92" s="1462"/>
      <c r="C92" s="1456">
        <v>1090</v>
      </c>
      <c r="D92" s="1456">
        <v>1090</v>
      </c>
      <c r="E92" s="1462"/>
      <c r="J92" s="1541">
        <f t="shared" si="4"/>
        <v>0</v>
      </c>
      <c r="K92" s="1541">
        <f t="shared" si="5"/>
        <v>1090</v>
      </c>
      <c r="L92" s="1541">
        <f t="shared" si="6"/>
        <v>1090</v>
      </c>
      <c r="M92" s="1541">
        <f t="shared" si="7"/>
        <v>0</v>
      </c>
    </row>
    <row r="93" spans="1:13" x14ac:dyDescent="0.3">
      <c r="A93" s="1852" t="s">
        <v>2571</v>
      </c>
      <c r="B93" s="1462"/>
      <c r="C93" s="1456">
        <v>200</v>
      </c>
      <c r="D93" s="1456">
        <v>200</v>
      </c>
      <c r="E93" s="1462"/>
      <c r="J93" s="1541">
        <f t="shared" si="4"/>
        <v>0</v>
      </c>
      <c r="K93" s="1541">
        <f t="shared" si="5"/>
        <v>200</v>
      </c>
      <c r="L93" s="1541">
        <f t="shared" si="6"/>
        <v>200</v>
      </c>
      <c r="M93" s="1541">
        <f t="shared" si="7"/>
        <v>0</v>
      </c>
    </row>
    <row r="94" spans="1:13" x14ac:dyDescent="0.3">
      <c r="A94" s="1852" t="s">
        <v>2572</v>
      </c>
      <c r="B94" s="1462"/>
      <c r="C94" s="1456">
        <v>7533</v>
      </c>
      <c r="D94" s="1456">
        <v>7533</v>
      </c>
      <c r="E94" s="1462"/>
      <c r="J94" s="1541">
        <f t="shared" si="4"/>
        <v>0</v>
      </c>
      <c r="K94" s="1541">
        <f t="shared" si="5"/>
        <v>7533</v>
      </c>
      <c r="L94" s="1541">
        <f t="shared" si="6"/>
        <v>7533</v>
      </c>
      <c r="M94" s="1541">
        <f t="shared" si="7"/>
        <v>0</v>
      </c>
    </row>
    <row r="95" spans="1:13" x14ac:dyDescent="0.3">
      <c r="A95" s="1852" t="s">
        <v>2573</v>
      </c>
      <c r="B95" s="1462"/>
      <c r="C95" s="1456">
        <v>3182</v>
      </c>
      <c r="D95" s="1456">
        <v>3182</v>
      </c>
      <c r="E95" s="1462"/>
      <c r="J95" s="1541">
        <f t="shared" si="4"/>
        <v>0</v>
      </c>
      <c r="K95" s="1541">
        <f t="shared" si="5"/>
        <v>3182</v>
      </c>
      <c r="L95" s="1541">
        <f t="shared" si="6"/>
        <v>3182</v>
      </c>
      <c r="M95" s="1541">
        <f t="shared" si="7"/>
        <v>0</v>
      </c>
    </row>
    <row r="96" spans="1:13" x14ac:dyDescent="0.3">
      <c r="A96" s="1852" t="s">
        <v>2574</v>
      </c>
      <c r="B96" s="1462"/>
      <c r="C96" s="1456">
        <v>200</v>
      </c>
      <c r="D96" s="1456">
        <v>200</v>
      </c>
      <c r="E96" s="1462"/>
      <c r="J96" s="1541">
        <f t="shared" si="4"/>
        <v>0</v>
      </c>
      <c r="K96" s="1541">
        <f t="shared" si="5"/>
        <v>200</v>
      </c>
      <c r="L96" s="1541">
        <f t="shared" si="6"/>
        <v>200</v>
      </c>
      <c r="M96" s="1541">
        <f t="shared" si="7"/>
        <v>0</v>
      </c>
    </row>
    <row r="97" spans="1:13" x14ac:dyDescent="0.3">
      <c r="A97" s="1852" t="s">
        <v>2575</v>
      </c>
      <c r="B97" s="1462"/>
      <c r="C97" s="1456">
        <v>1263</v>
      </c>
      <c r="D97" s="1456">
        <v>1263</v>
      </c>
      <c r="E97" s="1462"/>
      <c r="J97" s="1541">
        <f t="shared" si="4"/>
        <v>0</v>
      </c>
      <c r="K97" s="1541">
        <f t="shared" si="5"/>
        <v>1263</v>
      </c>
      <c r="L97" s="1541">
        <f t="shared" si="6"/>
        <v>1263</v>
      </c>
      <c r="M97" s="1541">
        <f t="shared" si="7"/>
        <v>0</v>
      </c>
    </row>
    <row r="98" spans="1:13" x14ac:dyDescent="0.3">
      <c r="A98" s="1852" t="s">
        <v>2576</v>
      </c>
      <c r="B98" s="1462"/>
      <c r="C98" s="1456">
        <v>320</v>
      </c>
      <c r="D98" s="1456">
        <v>320</v>
      </c>
      <c r="E98" s="1462"/>
      <c r="J98" s="1541">
        <f t="shared" ref="J98:J161" si="8">B98+F98</f>
        <v>0</v>
      </c>
      <c r="K98" s="1541">
        <f t="shared" ref="K98:K161" si="9">C98+G98</f>
        <v>320</v>
      </c>
      <c r="L98" s="1541">
        <f t="shared" ref="L98:L161" si="10">D98+H98</f>
        <v>320</v>
      </c>
      <c r="M98" s="1541">
        <f t="shared" ref="M98:M161" si="11">E98+I98</f>
        <v>0</v>
      </c>
    </row>
    <row r="99" spans="1:13" x14ac:dyDescent="0.3">
      <c r="A99" s="1855" t="s">
        <v>2577</v>
      </c>
      <c r="B99" s="1462"/>
      <c r="C99" s="1456">
        <v>29300</v>
      </c>
      <c r="D99" s="1456">
        <v>29300</v>
      </c>
      <c r="E99" s="1462"/>
      <c r="J99" s="1541">
        <f t="shared" si="8"/>
        <v>0</v>
      </c>
      <c r="K99" s="1541">
        <f t="shared" si="9"/>
        <v>29300</v>
      </c>
      <c r="L99" s="1541">
        <f t="shared" si="10"/>
        <v>29300</v>
      </c>
      <c r="M99" s="1541">
        <f t="shared" si="11"/>
        <v>0</v>
      </c>
    </row>
    <row r="100" spans="1:13" x14ac:dyDescent="0.3">
      <c r="A100" s="1852" t="s">
        <v>2578</v>
      </c>
      <c r="B100" s="1462"/>
      <c r="C100" s="1456">
        <v>610</v>
      </c>
      <c r="D100" s="1456">
        <v>610</v>
      </c>
      <c r="E100" s="1462"/>
      <c r="J100" s="1541">
        <f t="shared" si="8"/>
        <v>0</v>
      </c>
      <c r="K100" s="1541">
        <f t="shared" si="9"/>
        <v>610</v>
      </c>
      <c r="L100" s="1541">
        <f t="shared" si="10"/>
        <v>610</v>
      </c>
      <c r="M100" s="1541">
        <f t="shared" si="11"/>
        <v>0</v>
      </c>
    </row>
    <row r="101" spans="1:13" x14ac:dyDescent="0.3">
      <c r="A101" s="1852" t="s">
        <v>2579</v>
      </c>
      <c r="B101" s="1462"/>
      <c r="C101" s="1456">
        <v>586</v>
      </c>
      <c r="D101" s="1456">
        <v>586</v>
      </c>
      <c r="E101" s="1462"/>
      <c r="J101" s="1541">
        <f t="shared" si="8"/>
        <v>0</v>
      </c>
      <c r="K101" s="1541">
        <f t="shared" si="9"/>
        <v>586</v>
      </c>
      <c r="L101" s="1541">
        <f t="shared" si="10"/>
        <v>586</v>
      </c>
      <c r="M101" s="1541">
        <f t="shared" si="11"/>
        <v>0</v>
      </c>
    </row>
    <row r="102" spans="1:13" x14ac:dyDescent="0.3">
      <c r="A102" s="1855" t="s">
        <v>2580</v>
      </c>
      <c r="B102" s="1462"/>
      <c r="C102" s="1456">
        <v>295200</v>
      </c>
      <c r="D102" s="1456">
        <v>295200</v>
      </c>
      <c r="E102" s="1462"/>
      <c r="J102" s="1541">
        <f t="shared" si="8"/>
        <v>0</v>
      </c>
      <c r="K102" s="1541">
        <f t="shared" si="9"/>
        <v>295200</v>
      </c>
      <c r="L102" s="1541">
        <f t="shared" si="10"/>
        <v>295200</v>
      </c>
      <c r="M102" s="1541">
        <f t="shared" si="11"/>
        <v>0</v>
      </c>
    </row>
    <row r="103" spans="1:13" x14ac:dyDescent="0.3">
      <c r="A103" s="1855" t="s">
        <v>2581</v>
      </c>
      <c r="B103" s="1462"/>
      <c r="C103" s="1456">
        <v>30008</v>
      </c>
      <c r="D103" s="1456">
        <v>30008</v>
      </c>
      <c r="E103" s="1462"/>
      <c r="J103" s="1541">
        <f t="shared" si="8"/>
        <v>0</v>
      </c>
      <c r="K103" s="1541">
        <f t="shared" si="9"/>
        <v>30008</v>
      </c>
      <c r="L103" s="1541">
        <f t="shared" si="10"/>
        <v>30008</v>
      </c>
      <c r="M103" s="1541">
        <f t="shared" si="11"/>
        <v>0</v>
      </c>
    </row>
    <row r="104" spans="1:13" x14ac:dyDescent="0.3">
      <c r="A104" s="1852" t="s">
        <v>2582</v>
      </c>
      <c r="B104" s="1462"/>
      <c r="C104" s="1456">
        <v>3376</v>
      </c>
      <c r="D104" s="1456">
        <v>3376</v>
      </c>
      <c r="E104" s="1462"/>
      <c r="J104" s="1541">
        <f t="shared" si="8"/>
        <v>0</v>
      </c>
      <c r="K104" s="1541">
        <f t="shared" si="9"/>
        <v>3376</v>
      </c>
      <c r="L104" s="1541">
        <f t="shared" si="10"/>
        <v>3376</v>
      </c>
      <c r="M104" s="1541">
        <f t="shared" si="11"/>
        <v>0</v>
      </c>
    </row>
    <row r="105" spans="1:13" x14ac:dyDescent="0.3">
      <c r="A105" s="1852" t="s">
        <v>2583</v>
      </c>
      <c r="B105" s="1462"/>
      <c r="C105" s="1456">
        <v>1392</v>
      </c>
      <c r="D105" s="1456">
        <v>1392</v>
      </c>
      <c r="E105" s="1462"/>
      <c r="J105" s="1541">
        <f t="shared" si="8"/>
        <v>0</v>
      </c>
      <c r="K105" s="1541">
        <f t="shared" si="9"/>
        <v>1392</v>
      </c>
      <c r="L105" s="1541">
        <f t="shared" si="10"/>
        <v>1392</v>
      </c>
      <c r="M105" s="1541">
        <f t="shared" si="11"/>
        <v>0</v>
      </c>
    </row>
    <row r="106" spans="1:13" x14ac:dyDescent="0.3">
      <c r="A106" s="1852" t="s">
        <v>2584</v>
      </c>
      <c r="B106" s="1462"/>
      <c r="C106" s="1456">
        <v>10905</v>
      </c>
      <c r="D106" s="1456">
        <v>10905</v>
      </c>
      <c r="E106" s="1462"/>
      <c r="J106" s="1541">
        <f t="shared" si="8"/>
        <v>0</v>
      </c>
      <c r="K106" s="1541">
        <f t="shared" si="9"/>
        <v>10905</v>
      </c>
      <c r="L106" s="1541">
        <f t="shared" si="10"/>
        <v>10905</v>
      </c>
      <c r="M106" s="1541">
        <f t="shared" si="11"/>
        <v>0</v>
      </c>
    </row>
    <row r="107" spans="1:13" x14ac:dyDescent="0.3">
      <c r="A107" s="1852" t="s">
        <v>2586</v>
      </c>
      <c r="B107" s="1462"/>
      <c r="C107" s="1456">
        <v>3520</v>
      </c>
      <c r="D107" s="1456">
        <v>3520</v>
      </c>
      <c r="E107" s="1462"/>
      <c r="J107" s="1541">
        <f t="shared" si="8"/>
        <v>0</v>
      </c>
      <c r="K107" s="1541">
        <f t="shared" si="9"/>
        <v>3520</v>
      </c>
      <c r="L107" s="1541">
        <f t="shared" si="10"/>
        <v>3520</v>
      </c>
      <c r="M107" s="1541">
        <f t="shared" si="11"/>
        <v>0</v>
      </c>
    </row>
    <row r="108" spans="1:13" x14ac:dyDescent="0.3">
      <c r="A108" s="1852" t="s">
        <v>2587</v>
      </c>
      <c r="B108" s="1462"/>
      <c r="C108" s="1456">
        <v>1900</v>
      </c>
      <c r="D108" s="1456">
        <v>1900</v>
      </c>
      <c r="E108" s="1462"/>
      <c r="J108" s="1541">
        <f t="shared" si="8"/>
        <v>0</v>
      </c>
      <c r="K108" s="1541">
        <f t="shared" si="9"/>
        <v>1900</v>
      </c>
      <c r="L108" s="1541">
        <f t="shared" si="10"/>
        <v>1900</v>
      </c>
      <c r="M108" s="1541">
        <f t="shared" si="11"/>
        <v>0</v>
      </c>
    </row>
    <row r="109" spans="1:13" x14ac:dyDescent="0.3">
      <c r="A109" s="1852" t="s">
        <v>2588</v>
      </c>
      <c r="B109" s="1462"/>
      <c r="C109" s="1456">
        <v>600</v>
      </c>
      <c r="D109" s="1456">
        <v>600</v>
      </c>
      <c r="E109" s="1462"/>
      <c r="J109" s="1541">
        <f t="shared" si="8"/>
        <v>0</v>
      </c>
      <c r="K109" s="1541">
        <f t="shared" si="9"/>
        <v>600</v>
      </c>
      <c r="L109" s="1541">
        <f t="shared" si="10"/>
        <v>600</v>
      </c>
      <c r="M109" s="1541">
        <f t="shared" si="11"/>
        <v>0</v>
      </c>
    </row>
    <row r="110" spans="1:13" x14ac:dyDescent="0.3">
      <c r="A110" s="1852" t="s">
        <v>2589</v>
      </c>
      <c r="B110" s="1462"/>
      <c r="C110" s="1456">
        <v>3380</v>
      </c>
      <c r="D110" s="1456">
        <v>3380</v>
      </c>
      <c r="E110" s="1462"/>
      <c r="J110" s="1541">
        <f t="shared" si="8"/>
        <v>0</v>
      </c>
      <c r="K110" s="1541">
        <f t="shared" si="9"/>
        <v>3380</v>
      </c>
      <c r="L110" s="1541">
        <f t="shared" si="10"/>
        <v>3380</v>
      </c>
      <c r="M110" s="1541">
        <f t="shared" si="11"/>
        <v>0</v>
      </c>
    </row>
    <row r="111" spans="1:13" x14ac:dyDescent="0.3">
      <c r="A111" s="1852" t="s">
        <v>2590</v>
      </c>
      <c r="B111" s="1462"/>
      <c r="C111" s="1456">
        <v>200</v>
      </c>
      <c r="D111" s="1456">
        <v>200</v>
      </c>
      <c r="E111" s="1462"/>
      <c r="J111" s="1541">
        <f t="shared" si="8"/>
        <v>0</v>
      </c>
      <c r="K111" s="1541">
        <f t="shared" si="9"/>
        <v>200</v>
      </c>
      <c r="L111" s="1541">
        <f t="shared" si="10"/>
        <v>200</v>
      </c>
      <c r="M111" s="1541">
        <f t="shared" si="11"/>
        <v>0</v>
      </c>
    </row>
    <row r="112" spans="1:13" x14ac:dyDescent="0.3">
      <c r="A112" s="1855" t="s">
        <v>2591</v>
      </c>
      <c r="B112" s="1462"/>
      <c r="C112" s="1456">
        <v>2708</v>
      </c>
      <c r="D112" s="1456">
        <v>2708</v>
      </c>
      <c r="E112" s="1462"/>
      <c r="J112" s="1541">
        <f t="shared" si="8"/>
        <v>0</v>
      </c>
      <c r="K112" s="1541">
        <f t="shared" si="9"/>
        <v>2708</v>
      </c>
      <c r="L112" s="1541">
        <f t="shared" si="10"/>
        <v>2708</v>
      </c>
      <c r="M112" s="1541">
        <f t="shared" si="11"/>
        <v>0</v>
      </c>
    </row>
    <row r="113" spans="1:13" x14ac:dyDescent="0.3">
      <c r="A113" s="1852" t="s">
        <v>2592</v>
      </c>
      <c r="B113" s="1462"/>
      <c r="C113" s="1456">
        <v>726</v>
      </c>
      <c r="D113" s="1456">
        <v>726</v>
      </c>
      <c r="E113" s="1462"/>
      <c r="J113" s="1541">
        <f t="shared" si="8"/>
        <v>0</v>
      </c>
      <c r="K113" s="1541">
        <f t="shared" si="9"/>
        <v>726</v>
      </c>
      <c r="L113" s="1541">
        <f t="shared" si="10"/>
        <v>726</v>
      </c>
      <c r="M113" s="1541">
        <f t="shared" si="11"/>
        <v>0</v>
      </c>
    </row>
    <row r="114" spans="1:13" x14ac:dyDescent="0.3">
      <c r="A114" s="1855" t="s">
        <v>2593</v>
      </c>
      <c r="B114" s="1462"/>
      <c r="C114" s="1456">
        <v>340</v>
      </c>
      <c r="D114" s="1456">
        <v>340</v>
      </c>
      <c r="E114" s="1462"/>
      <c r="J114" s="1541">
        <f t="shared" si="8"/>
        <v>0</v>
      </c>
      <c r="K114" s="1541">
        <f t="shared" si="9"/>
        <v>340</v>
      </c>
      <c r="L114" s="1541">
        <f t="shared" si="10"/>
        <v>340</v>
      </c>
      <c r="M114" s="1541">
        <f t="shared" si="11"/>
        <v>0</v>
      </c>
    </row>
    <row r="115" spans="1:13" x14ac:dyDescent="0.3">
      <c r="A115" s="1852" t="s">
        <v>2594</v>
      </c>
      <c r="B115" s="1462"/>
      <c r="C115" s="1456">
        <v>32105</v>
      </c>
      <c r="D115" s="1456">
        <v>32105</v>
      </c>
      <c r="E115" s="1462"/>
      <c r="J115" s="1541">
        <f t="shared" si="8"/>
        <v>0</v>
      </c>
      <c r="K115" s="1541">
        <f t="shared" si="9"/>
        <v>32105</v>
      </c>
      <c r="L115" s="1541">
        <f t="shared" si="10"/>
        <v>32105</v>
      </c>
      <c r="M115" s="1541">
        <f t="shared" si="11"/>
        <v>0</v>
      </c>
    </row>
    <row r="116" spans="1:13" x14ac:dyDescent="0.3">
      <c r="A116" s="1852" t="s">
        <v>2595</v>
      </c>
      <c r="B116" s="1462"/>
      <c r="C116" s="1456">
        <v>10982</v>
      </c>
      <c r="D116" s="1456">
        <v>10982</v>
      </c>
      <c r="E116" s="1462"/>
      <c r="J116" s="1541">
        <f t="shared" si="8"/>
        <v>0</v>
      </c>
      <c r="K116" s="1541">
        <f t="shared" si="9"/>
        <v>10982</v>
      </c>
      <c r="L116" s="1541">
        <f t="shared" si="10"/>
        <v>10982</v>
      </c>
      <c r="M116" s="1541">
        <f t="shared" si="11"/>
        <v>0</v>
      </c>
    </row>
    <row r="117" spans="1:13" x14ac:dyDescent="0.3">
      <c r="A117" s="1852" t="s">
        <v>2596</v>
      </c>
      <c r="B117" s="1462"/>
      <c r="C117" s="1456">
        <v>138357</v>
      </c>
      <c r="D117" s="1456">
        <v>138357</v>
      </c>
      <c r="E117" s="1462"/>
      <c r="J117" s="1541">
        <f t="shared" si="8"/>
        <v>0</v>
      </c>
      <c r="K117" s="1541">
        <f t="shared" si="9"/>
        <v>138357</v>
      </c>
      <c r="L117" s="1541">
        <f t="shared" si="10"/>
        <v>138357</v>
      </c>
      <c r="M117" s="1541">
        <f t="shared" si="11"/>
        <v>0</v>
      </c>
    </row>
    <row r="118" spans="1:13" x14ac:dyDescent="0.3">
      <c r="A118" s="1855" t="s">
        <v>2598</v>
      </c>
      <c r="B118" s="1462"/>
      <c r="C118" s="1456">
        <v>1428</v>
      </c>
      <c r="D118" s="1456">
        <v>1428</v>
      </c>
      <c r="E118" s="1462"/>
      <c r="J118" s="1541">
        <f t="shared" si="8"/>
        <v>0</v>
      </c>
      <c r="K118" s="1541">
        <f t="shared" si="9"/>
        <v>1428</v>
      </c>
      <c r="L118" s="1541">
        <f t="shared" si="10"/>
        <v>1428</v>
      </c>
      <c r="M118" s="1541">
        <f t="shared" si="11"/>
        <v>0</v>
      </c>
    </row>
    <row r="119" spans="1:13" x14ac:dyDescent="0.3">
      <c r="A119" s="1855" t="s">
        <v>2599</v>
      </c>
      <c r="B119" s="1462"/>
      <c r="C119" s="1456">
        <v>520</v>
      </c>
      <c r="D119" s="1456">
        <v>520</v>
      </c>
      <c r="E119" s="1462"/>
      <c r="J119" s="1541">
        <f t="shared" si="8"/>
        <v>0</v>
      </c>
      <c r="K119" s="1541">
        <f t="shared" si="9"/>
        <v>520</v>
      </c>
      <c r="L119" s="1541">
        <f t="shared" si="10"/>
        <v>520</v>
      </c>
      <c r="M119" s="1541">
        <f t="shared" si="11"/>
        <v>0</v>
      </c>
    </row>
    <row r="120" spans="1:13" x14ac:dyDescent="0.3">
      <c r="A120" s="1855" t="s">
        <v>2600</v>
      </c>
      <c r="B120" s="1462"/>
      <c r="C120" s="1456">
        <v>4686</v>
      </c>
      <c r="D120" s="1456">
        <v>4686</v>
      </c>
      <c r="E120" s="1462"/>
      <c r="J120" s="1541">
        <f t="shared" si="8"/>
        <v>0</v>
      </c>
      <c r="K120" s="1541">
        <f t="shared" si="9"/>
        <v>4686</v>
      </c>
      <c r="L120" s="1541">
        <f t="shared" si="10"/>
        <v>4686</v>
      </c>
      <c r="M120" s="1541">
        <f t="shared" si="11"/>
        <v>0</v>
      </c>
    </row>
    <row r="121" spans="1:13" x14ac:dyDescent="0.3">
      <c r="A121" s="1855" t="s">
        <v>2601</v>
      </c>
      <c r="B121" s="1462"/>
      <c r="C121" s="1456">
        <v>4817</v>
      </c>
      <c r="D121" s="1456">
        <v>4817</v>
      </c>
      <c r="E121" s="1462"/>
      <c r="J121" s="1541">
        <f t="shared" si="8"/>
        <v>0</v>
      </c>
      <c r="K121" s="1541">
        <f t="shared" si="9"/>
        <v>4817</v>
      </c>
      <c r="L121" s="1541">
        <f t="shared" si="10"/>
        <v>4817</v>
      </c>
      <c r="M121" s="1541">
        <f t="shared" si="11"/>
        <v>0</v>
      </c>
    </row>
    <row r="122" spans="1:13" x14ac:dyDescent="0.3">
      <c r="A122" s="1852" t="s">
        <v>2602</v>
      </c>
      <c r="B122" s="1462"/>
      <c r="C122" s="1456">
        <v>13062</v>
      </c>
      <c r="D122" s="1456">
        <v>13062</v>
      </c>
      <c r="E122" s="1462"/>
      <c r="J122" s="1541">
        <f t="shared" si="8"/>
        <v>0</v>
      </c>
      <c r="K122" s="1541">
        <f t="shared" si="9"/>
        <v>13062</v>
      </c>
      <c r="L122" s="1541">
        <f t="shared" si="10"/>
        <v>13062</v>
      </c>
      <c r="M122" s="1541">
        <f t="shared" si="11"/>
        <v>0</v>
      </c>
    </row>
    <row r="123" spans="1:13" x14ac:dyDescent="0.3">
      <c r="A123" s="1852" t="s">
        <v>2605</v>
      </c>
      <c r="B123" s="1462"/>
      <c r="C123" s="1456">
        <v>2554</v>
      </c>
      <c r="D123" s="1456">
        <v>2554</v>
      </c>
      <c r="E123" s="1462"/>
      <c r="J123" s="1541">
        <f t="shared" si="8"/>
        <v>0</v>
      </c>
      <c r="K123" s="1541">
        <f t="shared" si="9"/>
        <v>2554</v>
      </c>
      <c r="L123" s="1541">
        <f t="shared" si="10"/>
        <v>2554</v>
      </c>
      <c r="M123" s="1541">
        <f t="shared" si="11"/>
        <v>0</v>
      </c>
    </row>
    <row r="124" spans="1:13" x14ac:dyDescent="0.3">
      <c r="A124" s="1852" t="s">
        <v>2606</v>
      </c>
      <c r="B124" s="1462"/>
      <c r="C124" s="1456">
        <v>4200</v>
      </c>
      <c r="D124" s="1456">
        <v>4200</v>
      </c>
      <c r="E124" s="1462"/>
      <c r="J124" s="1541">
        <f t="shared" si="8"/>
        <v>0</v>
      </c>
      <c r="K124" s="1541">
        <f t="shared" si="9"/>
        <v>4200</v>
      </c>
      <c r="L124" s="1541">
        <f t="shared" si="10"/>
        <v>4200</v>
      </c>
      <c r="M124" s="1541">
        <f t="shared" si="11"/>
        <v>0</v>
      </c>
    </row>
    <row r="125" spans="1:13" x14ac:dyDescent="0.3">
      <c r="A125" s="1852" t="s">
        <v>2607</v>
      </c>
      <c r="B125" s="1462"/>
      <c r="C125" s="1456">
        <v>4380</v>
      </c>
      <c r="D125" s="1456">
        <v>4380</v>
      </c>
      <c r="E125" s="1462"/>
      <c r="J125" s="1541">
        <f t="shared" si="8"/>
        <v>0</v>
      </c>
      <c r="K125" s="1541">
        <f t="shared" si="9"/>
        <v>4380</v>
      </c>
      <c r="L125" s="1541">
        <f t="shared" si="10"/>
        <v>4380</v>
      </c>
      <c r="M125" s="1541">
        <f t="shared" si="11"/>
        <v>0</v>
      </c>
    </row>
    <row r="126" spans="1:13" x14ac:dyDescent="0.3">
      <c r="A126" s="1855" t="s">
        <v>2608</v>
      </c>
      <c r="B126" s="1462"/>
      <c r="C126" s="1456">
        <v>2652</v>
      </c>
      <c r="D126" s="1456">
        <v>2652</v>
      </c>
      <c r="E126" s="1462"/>
      <c r="J126" s="1541">
        <f t="shared" si="8"/>
        <v>0</v>
      </c>
      <c r="K126" s="1541">
        <f t="shared" si="9"/>
        <v>2652</v>
      </c>
      <c r="L126" s="1541">
        <f t="shared" si="10"/>
        <v>2652</v>
      </c>
      <c r="M126" s="1541">
        <f t="shared" si="11"/>
        <v>0</v>
      </c>
    </row>
    <row r="127" spans="1:13" x14ac:dyDescent="0.3">
      <c r="A127" s="1852" t="s">
        <v>2609</v>
      </c>
      <c r="B127" s="1462"/>
      <c r="C127" s="1456">
        <v>6726</v>
      </c>
      <c r="D127" s="1456">
        <v>6726</v>
      </c>
      <c r="E127" s="1462"/>
      <c r="J127" s="1541">
        <f t="shared" si="8"/>
        <v>0</v>
      </c>
      <c r="K127" s="1541">
        <f t="shared" si="9"/>
        <v>6726</v>
      </c>
      <c r="L127" s="1541">
        <f t="shared" si="10"/>
        <v>6726</v>
      </c>
      <c r="M127" s="1541">
        <f t="shared" si="11"/>
        <v>0</v>
      </c>
    </row>
    <row r="128" spans="1:13" x14ac:dyDescent="0.3">
      <c r="A128" s="1852" t="s">
        <v>2610</v>
      </c>
      <c r="B128" s="1462"/>
      <c r="C128" s="1456">
        <v>506</v>
      </c>
      <c r="D128" s="1456">
        <v>506</v>
      </c>
      <c r="E128" s="1462"/>
      <c r="J128" s="1541">
        <f t="shared" si="8"/>
        <v>0</v>
      </c>
      <c r="K128" s="1541">
        <f t="shared" si="9"/>
        <v>506</v>
      </c>
      <c r="L128" s="1541">
        <f t="shared" si="10"/>
        <v>506</v>
      </c>
      <c r="M128" s="1541">
        <f t="shared" si="11"/>
        <v>0</v>
      </c>
    </row>
    <row r="129" spans="1:13" x14ac:dyDescent="0.3">
      <c r="A129" s="1852" t="s">
        <v>2612</v>
      </c>
      <c r="B129" s="1462"/>
      <c r="C129" s="1456">
        <v>1388</v>
      </c>
      <c r="D129" s="1456">
        <v>1388</v>
      </c>
      <c r="E129" s="1462"/>
      <c r="J129" s="1541">
        <f t="shared" si="8"/>
        <v>0</v>
      </c>
      <c r="K129" s="1541">
        <f t="shared" si="9"/>
        <v>1388</v>
      </c>
      <c r="L129" s="1541">
        <f t="shared" si="10"/>
        <v>1388</v>
      </c>
      <c r="M129" s="1541">
        <f t="shared" si="11"/>
        <v>0</v>
      </c>
    </row>
    <row r="130" spans="1:13" x14ac:dyDescent="0.3">
      <c r="A130" s="1852" t="s">
        <v>2613</v>
      </c>
      <c r="B130" s="1462"/>
      <c r="C130" s="1456">
        <v>2548</v>
      </c>
      <c r="D130" s="1456">
        <v>2548</v>
      </c>
      <c r="E130" s="1462"/>
      <c r="J130" s="1541">
        <f t="shared" si="8"/>
        <v>0</v>
      </c>
      <c r="K130" s="1541">
        <f t="shared" si="9"/>
        <v>2548</v>
      </c>
      <c r="L130" s="1541">
        <f t="shared" si="10"/>
        <v>2548</v>
      </c>
      <c r="M130" s="1541">
        <f t="shared" si="11"/>
        <v>0</v>
      </c>
    </row>
    <row r="131" spans="1:13" x14ac:dyDescent="0.3">
      <c r="A131" s="1852" t="s">
        <v>2614</v>
      </c>
      <c r="B131" s="1462"/>
      <c r="C131" s="1456">
        <v>1006</v>
      </c>
      <c r="D131" s="1456">
        <v>1006</v>
      </c>
      <c r="E131" s="1462"/>
      <c r="J131" s="1541">
        <f t="shared" si="8"/>
        <v>0</v>
      </c>
      <c r="K131" s="1541">
        <f t="shared" si="9"/>
        <v>1006</v>
      </c>
      <c r="L131" s="1541">
        <f t="shared" si="10"/>
        <v>1006</v>
      </c>
      <c r="M131" s="1541">
        <f t="shared" si="11"/>
        <v>0</v>
      </c>
    </row>
    <row r="132" spans="1:13" x14ac:dyDescent="0.3">
      <c r="A132" s="1855" t="s">
        <v>2615</v>
      </c>
      <c r="B132" s="1462"/>
      <c r="C132" s="1456">
        <v>612</v>
      </c>
      <c r="D132" s="1456">
        <v>612</v>
      </c>
      <c r="E132" s="1462"/>
      <c r="J132" s="1541">
        <f t="shared" si="8"/>
        <v>0</v>
      </c>
      <c r="K132" s="1541">
        <f t="shared" si="9"/>
        <v>612</v>
      </c>
      <c r="L132" s="1541">
        <f t="shared" si="10"/>
        <v>612</v>
      </c>
      <c r="M132" s="1541">
        <f t="shared" si="11"/>
        <v>0</v>
      </c>
    </row>
    <row r="133" spans="1:13" x14ac:dyDescent="0.3">
      <c r="A133" s="1852" t="s">
        <v>2616</v>
      </c>
      <c r="B133" s="1462"/>
      <c r="C133" s="1456">
        <v>1330</v>
      </c>
      <c r="D133" s="1456">
        <v>1330</v>
      </c>
      <c r="E133" s="1462"/>
      <c r="J133" s="1541">
        <f t="shared" si="8"/>
        <v>0</v>
      </c>
      <c r="K133" s="1541">
        <f t="shared" si="9"/>
        <v>1330</v>
      </c>
      <c r="L133" s="1541">
        <f t="shared" si="10"/>
        <v>1330</v>
      </c>
      <c r="M133" s="1541">
        <f t="shared" si="11"/>
        <v>0</v>
      </c>
    </row>
    <row r="134" spans="1:13" x14ac:dyDescent="0.3">
      <c r="A134" s="1852" t="s">
        <v>2617</v>
      </c>
      <c r="B134" s="1462"/>
      <c r="C134" s="1456">
        <v>3878</v>
      </c>
      <c r="D134" s="1456">
        <v>3878</v>
      </c>
      <c r="E134" s="1462"/>
      <c r="J134" s="1541">
        <f t="shared" si="8"/>
        <v>0</v>
      </c>
      <c r="K134" s="1541">
        <f t="shared" si="9"/>
        <v>3878</v>
      </c>
      <c r="L134" s="1541">
        <f t="shared" si="10"/>
        <v>3878</v>
      </c>
      <c r="M134" s="1541">
        <f t="shared" si="11"/>
        <v>0</v>
      </c>
    </row>
    <row r="135" spans="1:13" x14ac:dyDescent="0.3">
      <c r="A135" s="1852" t="s">
        <v>2619</v>
      </c>
      <c r="B135" s="1462"/>
      <c r="C135" s="1456">
        <v>380</v>
      </c>
      <c r="D135" s="1456">
        <v>380</v>
      </c>
      <c r="E135" s="1462"/>
      <c r="J135" s="1541">
        <f t="shared" si="8"/>
        <v>0</v>
      </c>
      <c r="K135" s="1541">
        <f t="shared" si="9"/>
        <v>380</v>
      </c>
      <c r="L135" s="1541">
        <f t="shared" si="10"/>
        <v>380</v>
      </c>
      <c r="M135" s="1541">
        <f t="shared" si="11"/>
        <v>0</v>
      </c>
    </row>
    <row r="136" spans="1:13" x14ac:dyDescent="0.3">
      <c r="A136" s="1852" t="s">
        <v>2620</v>
      </c>
      <c r="B136" s="1462"/>
      <c r="C136" s="1456">
        <v>1252</v>
      </c>
      <c r="D136" s="1456">
        <v>1252</v>
      </c>
      <c r="E136" s="1462"/>
      <c r="J136" s="1541">
        <f t="shared" si="8"/>
        <v>0</v>
      </c>
      <c r="K136" s="1541">
        <f t="shared" si="9"/>
        <v>1252</v>
      </c>
      <c r="L136" s="1541">
        <f t="shared" si="10"/>
        <v>1252</v>
      </c>
      <c r="M136" s="1541">
        <f t="shared" si="11"/>
        <v>0</v>
      </c>
    </row>
    <row r="137" spans="1:13" x14ac:dyDescent="0.3">
      <c r="A137" s="1852" t="s">
        <v>2621</v>
      </c>
      <c r="B137" s="1462"/>
      <c r="C137" s="1456">
        <v>2859</v>
      </c>
      <c r="D137" s="1456">
        <v>2859</v>
      </c>
      <c r="E137" s="1462"/>
      <c r="J137" s="1541">
        <f t="shared" si="8"/>
        <v>0</v>
      </c>
      <c r="K137" s="1541">
        <f t="shared" si="9"/>
        <v>2859</v>
      </c>
      <c r="L137" s="1541">
        <f t="shared" si="10"/>
        <v>2859</v>
      </c>
      <c r="M137" s="1541">
        <f t="shared" si="11"/>
        <v>0</v>
      </c>
    </row>
    <row r="138" spans="1:13" x14ac:dyDescent="0.3">
      <c r="A138" s="1852" t="s">
        <v>2622</v>
      </c>
      <c r="B138" s="1462"/>
      <c r="C138" s="1456">
        <v>3360</v>
      </c>
      <c r="D138" s="1456">
        <v>3360</v>
      </c>
      <c r="E138" s="1462"/>
      <c r="J138" s="1541">
        <f t="shared" si="8"/>
        <v>0</v>
      </c>
      <c r="K138" s="1541">
        <f t="shared" si="9"/>
        <v>3360</v>
      </c>
      <c r="L138" s="1541">
        <f t="shared" si="10"/>
        <v>3360</v>
      </c>
      <c r="M138" s="1541">
        <f t="shared" si="11"/>
        <v>0</v>
      </c>
    </row>
    <row r="139" spans="1:13" x14ac:dyDescent="0.3">
      <c r="A139" s="1852" t="s">
        <v>2623</v>
      </c>
      <c r="B139" s="1462"/>
      <c r="C139" s="1456">
        <v>68450</v>
      </c>
      <c r="D139" s="1456">
        <v>68450</v>
      </c>
      <c r="E139" s="1462"/>
      <c r="J139" s="1541">
        <f t="shared" si="8"/>
        <v>0</v>
      </c>
      <c r="K139" s="1541">
        <f t="shared" si="9"/>
        <v>68450</v>
      </c>
      <c r="L139" s="1541">
        <f t="shared" si="10"/>
        <v>68450</v>
      </c>
      <c r="M139" s="1541">
        <f t="shared" si="11"/>
        <v>0</v>
      </c>
    </row>
    <row r="140" spans="1:13" x14ac:dyDescent="0.3">
      <c r="A140" s="1852" t="s">
        <v>2624</v>
      </c>
      <c r="B140" s="1462"/>
      <c r="C140" s="1456">
        <v>800</v>
      </c>
      <c r="D140" s="1456">
        <v>800</v>
      </c>
      <c r="E140" s="1462"/>
      <c r="J140" s="1541">
        <f t="shared" si="8"/>
        <v>0</v>
      </c>
      <c r="K140" s="1541">
        <f t="shared" si="9"/>
        <v>800</v>
      </c>
      <c r="L140" s="1541">
        <f t="shared" si="10"/>
        <v>800</v>
      </c>
      <c r="M140" s="1541">
        <f t="shared" si="11"/>
        <v>0</v>
      </c>
    </row>
    <row r="141" spans="1:13" x14ac:dyDescent="0.3">
      <c r="A141" s="1852" t="s">
        <v>2627</v>
      </c>
      <c r="B141" s="1462"/>
      <c r="C141" s="1456">
        <v>166</v>
      </c>
      <c r="D141" s="1456">
        <v>166</v>
      </c>
      <c r="E141" s="1462"/>
      <c r="J141" s="1541">
        <f t="shared" si="8"/>
        <v>0</v>
      </c>
      <c r="K141" s="1541">
        <f t="shared" si="9"/>
        <v>166</v>
      </c>
      <c r="L141" s="1541">
        <f t="shared" si="10"/>
        <v>166</v>
      </c>
      <c r="M141" s="1541">
        <f t="shared" si="11"/>
        <v>0</v>
      </c>
    </row>
    <row r="142" spans="1:13" x14ac:dyDescent="0.3">
      <c r="A142" s="1852" t="s">
        <v>2628</v>
      </c>
      <c r="B142" s="1462"/>
      <c r="C142" s="1456">
        <v>200</v>
      </c>
      <c r="D142" s="1456">
        <v>200</v>
      </c>
      <c r="E142" s="1462"/>
      <c r="J142" s="1541">
        <f t="shared" si="8"/>
        <v>0</v>
      </c>
      <c r="K142" s="1541">
        <f t="shared" si="9"/>
        <v>200</v>
      </c>
      <c r="L142" s="1541">
        <f t="shared" si="10"/>
        <v>200</v>
      </c>
      <c r="M142" s="1541">
        <f t="shared" si="11"/>
        <v>0</v>
      </c>
    </row>
    <row r="143" spans="1:13" x14ac:dyDescent="0.3">
      <c r="A143" s="1852" t="s">
        <v>2629</v>
      </c>
      <c r="B143" s="1462"/>
      <c r="C143" s="1456">
        <v>286</v>
      </c>
      <c r="D143" s="1456">
        <v>286</v>
      </c>
      <c r="E143" s="1462"/>
      <c r="J143" s="1541">
        <f t="shared" si="8"/>
        <v>0</v>
      </c>
      <c r="K143" s="1541">
        <f t="shared" si="9"/>
        <v>286</v>
      </c>
      <c r="L143" s="1541">
        <f t="shared" si="10"/>
        <v>286</v>
      </c>
      <c r="M143" s="1541">
        <f t="shared" si="11"/>
        <v>0</v>
      </c>
    </row>
    <row r="144" spans="1:13" x14ac:dyDescent="0.3">
      <c r="A144" s="1852" t="s">
        <v>2630</v>
      </c>
      <c r="B144" s="1462"/>
      <c r="C144" s="1456">
        <v>29830</v>
      </c>
      <c r="D144" s="1456">
        <v>29830</v>
      </c>
      <c r="E144" s="1462"/>
      <c r="J144" s="1541">
        <f t="shared" si="8"/>
        <v>0</v>
      </c>
      <c r="K144" s="1541">
        <f t="shared" si="9"/>
        <v>29830</v>
      </c>
      <c r="L144" s="1541">
        <f t="shared" si="10"/>
        <v>29830</v>
      </c>
      <c r="M144" s="1541">
        <f t="shared" si="11"/>
        <v>0</v>
      </c>
    </row>
    <row r="145" spans="1:13" x14ac:dyDescent="0.3">
      <c r="A145" s="1855" t="s">
        <v>2632</v>
      </c>
      <c r="B145" s="1896">
        <v>4661</v>
      </c>
      <c r="C145" s="1460"/>
      <c r="D145" s="1456">
        <v>4661</v>
      </c>
      <c r="E145" s="1462"/>
      <c r="J145" s="1541">
        <f t="shared" si="8"/>
        <v>4661</v>
      </c>
      <c r="K145" s="1541">
        <f t="shared" si="9"/>
        <v>0</v>
      </c>
      <c r="L145" s="1541">
        <f t="shared" si="10"/>
        <v>4661</v>
      </c>
      <c r="M145" s="1541">
        <f t="shared" si="11"/>
        <v>0</v>
      </c>
    </row>
    <row r="146" spans="1:13" x14ac:dyDescent="0.3">
      <c r="A146" s="1852" t="s">
        <v>2634</v>
      </c>
      <c r="B146" s="1462"/>
      <c r="C146" s="1456">
        <v>612</v>
      </c>
      <c r="D146" s="1456">
        <v>612</v>
      </c>
      <c r="E146" s="1462"/>
      <c r="J146" s="1541">
        <f t="shared" si="8"/>
        <v>0</v>
      </c>
      <c r="K146" s="1541">
        <f t="shared" si="9"/>
        <v>612</v>
      </c>
      <c r="L146" s="1541">
        <f t="shared" si="10"/>
        <v>612</v>
      </c>
      <c r="M146" s="1541">
        <f t="shared" si="11"/>
        <v>0</v>
      </c>
    </row>
    <row r="147" spans="1:13" x14ac:dyDescent="0.3">
      <c r="A147" s="1852" t="s">
        <v>2635</v>
      </c>
      <c r="B147" s="1462"/>
      <c r="C147" s="1456">
        <v>10887</v>
      </c>
      <c r="D147" s="1456">
        <v>10887</v>
      </c>
      <c r="E147" s="1462"/>
      <c r="J147" s="1541">
        <f t="shared" si="8"/>
        <v>0</v>
      </c>
      <c r="K147" s="1541">
        <f t="shared" si="9"/>
        <v>10887</v>
      </c>
      <c r="L147" s="1541">
        <f t="shared" si="10"/>
        <v>10887</v>
      </c>
      <c r="M147" s="1541">
        <f t="shared" si="11"/>
        <v>0</v>
      </c>
    </row>
    <row r="148" spans="1:13" x14ac:dyDescent="0.3">
      <c r="A148" s="1852" t="s">
        <v>2636</v>
      </c>
      <c r="B148" s="1462"/>
      <c r="C148" s="1456">
        <v>140</v>
      </c>
      <c r="D148" s="1456">
        <v>140</v>
      </c>
      <c r="E148" s="1462"/>
      <c r="J148" s="1541">
        <f t="shared" si="8"/>
        <v>0</v>
      </c>
      <c r="K148" s="1541">
        <f t="shared" si="9"/>
        <v>140</v>
      </c>
      <c r="L148" s="1541">
        <f t="shared" si="10"/>
        <v>140</v>
      </c>
      <c r="M148" s="1541">
        <f t="shared" si="11"/>
        <v>0</v>
      </c>
    </row>
    <row r="149" spans="1:13" x14ac:dyDescent="0.3">
      <c r="A149" s="1852" t="s">
        <v>2638</v>
      </c>
      <c r="B149" s="1462"/>
      <c r="C149" s="1456">
        <v>2041</v>
      </c>
      <c r="D149" s="1456">
        <v>2041</v>
      </c>
      <c r="E149" s="1462"/>
      <c r="J149" s="1541">
        <f t="shared" si="8"/>
        <v>0</v>
      </c>
      <c r="K149" s="1541">
        <f t="shared" si="9"/>
        <v>2041</v>
      </c>
      <c r="L149" s="1541">
        <f t="shared" si="10"/>
        <v>2041</v>
      </c>
      <c r="M149" s="1541">
        <f t="shared" si="11"/>
        <v>0</v>
      </c>
    </row>
    <row r="150" spans="1:13" x14ac:dyDescent="0.3">
      <c r="A150" s="1852" t="s">
        <v>2639</v>
      </c>
      <c r="B150" s="1462"/>
      <c r="C150" s="1456">
        <v>13288</v>
      </c>
      <c r="D150" s="1456">
        <v>13288</v>
      </c>
      <c r="E150" s="1462"/>
      <c r="J150" s="1541">
        <f t="shared" si="8"/>
        <v>0</v>
      </c>
      <c r="K150" s="1541">
        <f t="shared" si="9"/>
        <v>13288</v>
      </c>
      <c r="L150" s="1541">
        <f t="shared" si="10"/>
        <v>13288</v>
      </c>
      <c r="M150" s="1541">
        <f t="shared" si="11"/>
        <v>0</v>
      </c>
    </row>
    <row r="151" spans="1:13" x14ac:dyDescent="0.3">
      <c r="A151" s="1852" t="s">
        <v>2640</v>
      </c>
      <c r="B151" s="1462"/>
      <c r="C151" s="1456">
        <v>700</v>
      </c>
      <c r="D151" s="1456">
        <v>700</v>
      </c>
      <c r="E151" s="1462"/>
      <c r="J151" s="1541">
        <f t="shared" si="8"/>
        <v>0</v>
      </c>
      <c r="K151" s="1541">
        <f t="shared" si="9"/>
        <v>700</v>
      </c>
      <c r="L151" s="1541">
        <f t="shared" si="10"/>
        <v>700</v>
      </c>
      <c r="M151" s="1541">
        <f t="shared" si="11"/>
        <v>0</v>
      </c>
    </row>
    <row r="152" spans="1:13" x14ac:dyDescent="0.3">
      <c r="A152" s="1855" t="s">
        <v>2643</v>
      </c>
      <c r="B152" s="1462"/>
      <c r="C152" s="1456">
        <v>590</v>
      </c>
      <c r="D152" s="1456">
        <v>590</v>
      </c>
      <c r="E152" s="1462"/>
      <c r="J152" s="1541">
        <f t="shared" si="8"/>
        <v>0</v>
      </c>
      <c r="K152" s="1541">
        <f t="shared" si="9"/>
        <v>590</v>
      </c>
      <c r="L152" s="1541">
        <f t="shared" si="10"/>
        <v>590</v>
      </c>
      <c r="M152" s="1541">
        <f t="shared" si="11"/>
        <v>0</v>
      </c>
    </row>
    <row r="153" spans="1:13" x14ac:dyDescent="0.3">
      <c r="A153" s="1855" t="s">
        <v>2644</v>
      </c>
      <c r="B153" s="1462"/>
      <c r="C153" s="1456">
        <v>16730</v>
      </c>
      <c r="D153" s="1456">
        <v>16730</v>
      </c>
      <c r="E153" s="1462"/>
      <c r="J153" s="1541">
        <f t="shared" si="8"/>
        <v>0</v>
      </c>
      <c r="K153" s="1541">
        <f t="shared" si="9"/>
        <v>16730</v>
      </c>
      <c r="L153" s="1541">
        <f t="shared" si="10"/>
        <v>16730</v>
      </c>
      <c r="M153" s="1541">
        <f t="shared" si="11"/>
        <v>0</v>
      </c>
    </row>
    <row r="154" spans="1:13" x14ac:dyDescent="0.3">
      <c r="A154" s="1855" t="s">
        <v>2645</v>
      </c>
      <c r="B154" s="1462"/>
      <c r="C154" s="1456">
        <v>3050</v>
      </c>
      <c r="D154" s="1456">
        <v>3050</v>
      </c>
      <c r="E154" s="1462"/>
      <c r="J154" s="1541">
        <f t="shared" si="8"/>
        <v>0</v>
      </c>
      <c r="K154" s="1541">
        <f t="shared" si="9"/>
        <v>3050</v>
      </c>
      <c r="L154" s="1541">
        <f t="shared" si="10"/>
        <v>3050</v>
      </c>
      <c r="M154" s="1541">
        <f t="shared" si="11"/>
        <v>0</v>
      </c>
    </row>
    <row r="155" spans="1:13" x14ac:dyDescent="0.3">
      <c r="A155" s="1852" t="s">
        <v>2646</v>
      </c>
      <c r="B155" s="1462"/>
      <c r="C155" s="1456">
        <v>400</v>
      </c>
      <c r="D155" s="1456">
        <v>400</v>
      </c>
      <c r="E155" s="1462"/>
      <c r="J155" s="1541">
        <f t="shared" si="8"/>
        <v>0</v>
      </c>
      <c r="K155" s="1541">
        <f t="shared" si="9"/>
        <v>400</v>
      </c>
      <c r="L155" s="1541">
        <f t="shared" si="10"/>
        <v>400</v>
      </c>
      <c r="M155" s="1541">
        <f t="shared" si="11"/>
        <v>0</v>
      </c>
    </row>
    <row r="156" spans="1:13" x14ac:dyDescent="0.3">
      <c r="A156" s="1852" t="s">
        <v>2647</v>
      </c>
      <c r="B156" s="1462"/>
      <c r="C156" s="1456">
        <v>2300</v>
      </c>
      <c r="D156" s="1456">
        <v>2300</v>
      </c>
      <c r="E156" s="1462"/>
      <c r="J156" s="1541">
        <f t="shared" si="8"/>
        <v>0</v>
      </c>
      <c r="K156" s="1541">
        <f t="shared" si="9"/>
        <v>2300</v>
      </c>
      <c r="L156" s="1541">
        <f t="shared" si="10"/>
        <v>2300</v>
      </c>
      <c r="M156" s="1541">
        <f t="shared" si="11"/>
        <v>0</v>
      </c>
    </row>
    <row r="157" spans="1:13" x14ac:dyDescent="0.3">
      <c r="A157" s="1852" t="s">
        <v>2648</v>
      </c>
      <c r="B157" s="1462"/>
      <c r="C157" s="1456">
        <v>803</v>
      </c>
      <c r="D157" s="1456">
        <v>803</v>
      </c>
      <c r="E157" s="1462"/>
      <c r="J157" s="1541">
        <f t="shared" si="8"/>
        <v>0</v>
      </c>
      <c r="K157" s="1541">
        <f t="shared" si="9"/>
        <v>803</v>
      </c>
      <c r="L157" s="1541">
        <f t="shared" si="10"/>
        <v>803</v>
      </c>
      <c r="M157" s="1541">
        <f t="shared" si="11"/>
        <v>0</v>
      </c>
    </row>
    <row r="158" spans="1:13" x14ac:dyDescent="0.3">
      <c r="A158" s="1852" t="s">
        <v>2649</v>
      </c>
      <c r="B158" s="1462"/>
      <c r="C158" s="1456">
        <v>4829</v>
      </c>
      <c r="D158" s="1456">
        <v>4829</v>
      </c>
      <c r="E158" s="1462"/>
      <c r="J158" s="1541">
        <f t="shared" si="8"/>
        <v>0</v>
      </c>
      <c r="K158" s="1541">
        <f t="shared" si="9"/>
        <v>4829</v>
      </c>
      <c r="L158" s="1541">
        <f t="shared" si="10"/>
        <v>4829</v>
      </c>
      <c r="M158" s="1541">
        <f t="shared" si="11"/>
        <v>0</v>
      </c>
    </row>
    <row r="159" spans="1:13" x14ac:dyDescent="0.3">
      <c r="A159" s="1852" t="s">
        <v>2652</v>
      </c>
      <c r="B159" s="1462"/>
      <c r="C159" s="1456">
        <v>830</v>
      </c>
      <c r="D159" s="1456">
        <v>830</v>
      </c>
      <c r="E159" s="1462"/>
      <c r="J159" s="1541">
        <f t="shared" si="8"/>
        <v>0</v>
      </c>
      <c r="K159" s="1541">
        <f t="shared" si="9"/>
        <v>830</v>
      </c>
      <c r="L159" s="1541">
        <f t="shared" si="10"/>
        <v>830</v>
      </c>
      <c r="M159" s="1541">
        <f t="shared" si="11"/>
        <v>0</v>
      </c>
    </row>
    <row r="160" spans="1:13" x14ac:dyDescent="0.3">
      <c r="A160" s="1852" t="s">
        <v>2653</v>
      </c>
      <c r="B160" s="1462"/>
      <c r="C160" s="1456">
        <v>1530</v>
      </c>
      <c r="D160" s="1456">
        <v>1530</v>
      </c>
      <c r="E160" s="1462"/>
      <c r="J160" s="1541">
        <f t="shared" si="8"/>
        <v>0</v>
      </c>
      <c r="K160" s="1541">
        <f t="shared" si="9"/>
        <v>1530</v>
      </c>
      <c r="L160" s="1541">
        <f t="shared" si="10"/>
        <v>1530</v>
      </c>
      <c r="M160" s="1541">
        <f t="shared" si="11"/>
        <v>0</v>
      </c>
    </row>
    <row r="161" spans="1:13" x14ac:dyDescent="0.3">
      <c r="A161" s="1461" t="s">
        <v>2655</v>
      </c>
      <c r="B161" s="1462"/>
      <c r="C161" s="1456">
        <v>600</v>
      </c>
      <c r="D161" s="1456">
        <v>600</v>
      </c>
      <c r="E161" s="1462"/>
      <c r="J161" s="1541">
        <f t="shared" si="8"/>
        <v>0</v>
      </c>
      <c r="K161" s="1541">
        <f t="shared" si="9"/>
        <v>600</v>
      </c>
      <c r="L161" s="1541">
        <f t="shared" si="10"/>
        <v>600</v>
      </c>
      <c r="M161" s="1541">
        <f t="shared" si="11"/>
        <v>0</v>
      </c>
    </row>
    <row r="162" spans="1:13" x14ac:dyDescent="0.3">
      <c r="A162" s="1852" t="s">
        <v>2656</v>
      </c>
      <c r="B162" s="1462"/>
      <c r="C162" s="1456">
        <v>346</v>
      </c>
      <c r="D162" s="1456">
        <v>346</v>
      </c>
      <c r="E162" s="1462"/>
      <c r="J162" s="1541">
        <f t="shared" ref="J162:J225" si="12">B162+F162</f>
        <v>0</v>
      </c>
      <c r="K162" s="1541">
        <f t="shared" ref="K162:K225" si="13">C162+G162</f>
        <v>346</v>
      </c>
      <c r="L162" s="1541">
        <f t="shared" ref="L162:L225" si="14">D162+H162</f>
        <v>346</v>
      </c>
      <c r="M162" s="1541">
        <f t="shared" ref="M162:M225" si="15">E162+I162</f>
        <v>0</v>
      </c>
    </row>
    <row r="163" spans="1:13" x14ac:dyDescent="0.3">
      <c r="A163" s="1852" t="s">
        <v>2657</v>
      </c>
      <c r="B163" s="1462"/>
      <c r="C163" s="1456">
        <v>3150</v>
      </c>
      <c r="D163" s="1456">
        <v>3150</v>
      </c>
      <c r="E163" s="1462"/>
      <c r="J163" s="1541">
        <f t="shared" si="12"/>
        <v>0</v>
      </c>
      <c r="K163" s="1541">
        <f t="shared" si="13"/>
        <v>3150</v>
      </c>
      <c r="L163" s="1541">
        <f t="shared" si="14"/>
        <v>3150</v>
      </c>
      <c r="M163" s="1541">
        <f t="shared" si="15"/>
        <v>0</v>
      </c>
    </row>
    <row r="164" spans="1:13" x14ac:dyDescent="0.3">
      <c r="A164" s="1852" t="s">
        <v>2658</v>
      </c>
      <c r="B164" s="1462"/>
      <c r="C164" s="1456">
        <v>330</v>
      </c>
      <c r="D164" s="1456">
        <v>330</v>
      </c>
      <c r="E164" s="1462"/>
      <c r="J164" s="1541">
        <f t="shared" si="12"/>
        <v>0</v>
      </c>
      <c r="K164" s="1541">
        <f t="shared" si="13"/>
        <v>330</v>
      </c>
      <c r="L164" s="1541">
        <f t="shared" si="14"/>
        <v>330</v>
      </c>
      <c r="M164" s="1541">
        <f t="shared" si="15"/>
        <v>0</v>
      </c>
    </row>
    <row r="165" spans="1:13" x14ac:dyDescent="0.3">
      <c r="A165" s="1852" t="s">
        <v>2659</v>
      </c>
      <c r="B165" s="1462"/>
      <c r="C165" s="1456">
        <v>16722</v>
      </c>
      <c r="D165" s="1456">
        <v>16722</v>
      </c>
      <c r="E165" s="1462"/>
      <c r="J165" s="1541">
        <f t="shared" si="12"/>
        <v>0</v>
      </c>
      <c r="K165" s="1541">
        <f t="shared" si="13"/>
        <v>16722</v>
      </c>
      <c r="L165" s="1541">
        <f t="shared" si="14"/>
        <v>16722</v>
      </c>
      <c r="M165" s="1541">
        <f t="shared" si="15"/>
        <v>0</v>
      </c>
    </row>
    <row r="166" spans="1:13" x14ac:dyDescent="0.3">
      <c r="A166" s="1855" t="s">
        <v>2660</v>
      </c>
      <c r="B166" s="1462"/>
      <c r="C166" s="1456">
        <v>4039</v>
      </c>
      <c r="D166" s="1456">
        <v>4039</v>
      </c>
      <c r="E166" s="1462"/>
      <c r="J166" s="1541">
        <f t="shared" si="12"/>
        <v>0</v>
      </c>
      <c r="K166" s="1541">
        <f t="shared" si="13"/>
        <v>4039</v>
      </c>
      <c r="L166" s="1541">
        <f t="shared" si="14"/>
        <v>4039</v>
      </c>
      <c r="M166" s="1541">
        <f t="shared" si="15"/>
        <v>0</v>
      </c>
    </row>
    <row r="167" spans="1:13" x14ac:dyDescent="0.3">
      <c r="A167" s="1852" t="s">
        <v>2662</v>
      </c>
      <c r="B167" s="1462"/>
      <c r="C167" s="1456">
        <v>6405</v>
      </c>
      <c r="D167" s="1456">
        <v>6405</v>
      </c>
      <c r="E167" s="1462"/>
      <c r="J167" s="1541">
        <f t="shared" si="12"/>
        <v>0</v>
      </c>
      <c r="K167" s="1541">
        <f t="shared" si="13"/>
        <v>6405</v>
      </c>
      <c r="L167" s="1541">
        <f t="shared" si="14"/>
        <v>6405</v>
      </c>
      <c r="M167" s="1541">
        <f t="shared" si="15"/>
        <v>0</v>
      </c>
    </row>
    <row r="168" spans="1:13" x14ac:dyDescent="0.3">
      <c r="A168" s="1852" t="s">
        <v>2663</v>
      </c>
      <c r="B168" s="1462"/>
      <c r="C168" s="1456">
        <v>1630</v>
      </c>
      <c r="D168" s="1456">
        <v>1630</v>
      </c>
      <c r="E168" s="1462"/>
      <c r="J168" s="1541">
        <f t="shared" si="12"/>
        <v>0</v>
      </c>
      <c r="K168" s="1541">
        <f t="shared" si="13"/>
        <v>1630</v>
      </c>
      <c r="L168" s="1541">
        <f t="shared" si="14"/>
        <v>1630</v>
      </c>
      <c r="M168" s="1541">
        <f t="shared" si="15"/>
        <v>0</v>
      </c>
    </row>
    <row r="169" spans="1:13" x14ac:dyDescent="0.3">
      <c r="A169" s="1852" t="s">
        <v>2666</v>
      </c>
      <c r="B169" s="1462"/>
      <c r="C169" s="1456">
        <v>61025</v>
      </c>
      <c r="D169" s="1456">
        <v>61025</v>
      </c>
      <c r="E169" s="1462"/>
      <c r="J169" s="1541">
        <f t="shared" si="12"/>
        <v>0</v>
      </c>
      <c r="K169" s="1541">
        <f t="shared" si="13"/>
        <v>61025</v>
      </c>
      <c r="L169" s="1541">
        <f t="shared" si="14"/>
        <v>61025</v>
      </c>
      <c r="M169" s="1541">
        <f t="shared" si="15"/>
        <v>0</v>
      </c>
    </row>
    <row r="170" spans="1:13" x14ac:dyDescent="0.3">
      <c r="A170" s="1852" t="s">
        <v>2668</v>
      </c>
      <c r="B170" s="1462"/>
      <c r="C170" s="1456">
        <v>2028</v>
      </c>
      <c r="D170" s="1456">
        <v>2028</v>
      </c>
      <c r="E170" s="1462"/>
      <c r="J170" s="1541">
        <f t="shared" si="12"/>
        <v>0</v>
      </c>
      <c r="K170" s="1541">
        <f t="shared" si="13"/>
        <v>2028</v>
      </c>
      <c r="L170" s="1541">
        <f t="shared" si="14"/>
        <v>2028</v>
      </c>
      <c r="M170" s="1541">
        <f t="shared" si="15"/>
        <v>0</v>
      </c>
    </row>
    <row r="171" spans="1:13" x14ac:dyDescent="0.3">
      <c r="A171" s="1855" t="s">
        <v>2671</v>
      </c>
      <c r="B171" s="1462"/>
      <c r="C171" s="1456">
        <v>29437</v>
      </c>
      <c r="D171" s="1456">
        <v>29437</v>
      </c>
      <c r="E171" s="1462"/>
      <c r="J171" s="1541">
        <f t="shared" si="12"/>
        <v>0</v>
      </c>
      <c r="K171" s="1541">
        <f t="shared" si="13"/>
        <v>29437</v>
      </c>
      <c r="L171" s="1541">
        <f t="shared" si="14"/>
        <v>29437</v>
      </c>
      <c r="M171" s="1541">
        <f t="shared" si="15"/>
        <v>0</v>
      </c>
    </row>
    <row r="172" spans="1:13" x14ac:dyDescent="0.3">
      <c r="A172" s="1855" t="s">
        <v>2672</v>
      </c>
      <c r="B172" s="1462"/>
      <c r="C172" s="1456">
        <v>504545</v>
      </c>
      <c r="D172" s="1456">
        <v>504545</v>
      </c>
      <c r="E172" s="1462"/>
      <c r="J172" s="1541">
        <f t="shared" si="12"/>
        <v>0</v>
      </c>
      <c r="K172" s="1541">
        <f t="shared" si="13"/>
        <v>504545</v>
      </c>
      <c r="L172" s="1541">
        <f t="shared" si="14"/>
        <v>504545</v>
      </c>
      <c r="M172" s="1541">
        <f t="shared" si="15"/>
        <v>0</v>
      </c>
    </row>
    <row r="173" spans="1:13" x14ac:dyDescent="0.3">
      <c r="A173" s="1855" t="s">
        <v>2673</v>
      </c>
      <c r="B173" s="1462"/>
      <c r="C173" s="1456">
        <v>2100</v>
      </c>
      <c r="D173" s="1456">
        <v>2100</v>
      </c>
      <c r="E173" s="1462"/>
      <c r="J173" s="1541">
        <f t="shared" si="12"/>
        <v>0</v>
      </c>
      <c r="K173" s="1541">
        <f t="shared" si="13"/>
        <v>2100</v>
      </c>
      <c r="L173" s="1541">
        <f t="shared" si="14"/>
        <v>2100</v>
      </c>
      <c r="M173" s="1541">
        <f t="shared" si="15"/>
        <v>0</v>
      </c>
    </row>
    <row r="174" spans="1:13" x14ac:dyDescent="0.3">
      <c r="A174" s="1852" t="s">
        <v>2674</v>
      </c>
      <c r="B174" s="1462"/>
      <c r="C174" s="1456">
        <v>2366</v>
      </c>
      <c r="D174" s="1456">
        <v>2366</v>
      </c>
      <c r="E174" s="1462"/>
      <c r="J174" s="1541">
        <f t="shared" si="12"/>
        <v>0</v>
      </c>
      <c r="K174" s="1541">
        <f t="shared" si="13"/>
        <v>2366</v>
      </c>
      <c r="L174" s="1541">
        <f t="shared" si="14"/>
        <v>2366</v>
      </c>
      <c r="M174" s="1541">
        <f t="shared" si="15"/>
        <v>0</v>
      </c>
    </row>
    <row r="175" spans="1:13" x14ac:dyDescent="0.3">
      <c r="A175" s="1852" t="s">
        <v>2675</v>
      </c>
      <c r="B175" s="1462"/>
      <c r="C175" s="1456">
        <v>540</v>
      </c>
      <c r="D175" s="1456">
        <v>540</v>
      </c>
      <c r="E175" s="1462"/>
      <c r="J175" s="1541">
        <f t="shared" si="12"/>
        <v>0</v>
      </c>
      <c r="K175" s="1541">
        <f t="shared" si="13"/>
        <v>540</v>
      </c>
      <c r="L175" s="1541">
        <f t="shared" si="14"/>
        <v>540</v>
      </c>
      <c r="M175" s="1541">
        <f t="shared" si="15"/>
        <v>0</v>
      </c>
    </row>
    <row r="176" spans="1:13" x14ac:dyDescent="0.3">
      <c r="A176" s="1852" t="s">
        <v>2676</v>
      </c>
      <c r="B176" s="1462"/>
      <c r="C176" s="1456">
        <v>1900</v>
      </c>
      <c r="D176" s="1456">
        <v>1900</v>
      </c>
      <c r="E176" s="1462"/>
      <c r="J176" s="1541">
        <f t="shared" si="12"/>
        <v>0</v>
      </c>
      <c r="K176" s="1541">
        <f t="shared" si="13"/>
        <v>1900</v>
      </c>
      <c r="L176" s="1541">
        <f t="shared" si="14"/>
        <v>1900</v>
      </c>
      <c r="M176" s="1541">
        <f t="shared" si="15"/>
        <v>0</v>
      </c>
    </row>
    <row r="177" spans="1:13" x14ac:dyDescent="0.3">
      <c r="A177" s="1852" t="s">
        <v>2677</v>
      </c>
      <c r="B177" s="1462"/>
      <c r="C177" s="1456">
        <v>357</v>
      </c>
      <c r="D177" s="1456">
        <v>357</v>
      </c>
      <c r="E177" s="1462"/>
      <c r="J177" s="1541">
        <f t="shared" si="12"/>
        <v>0</v>
      </c>
      <c r="K177" s="1541">
        <f t="shared" si="13"/>
        <v>357</v>
      </c>
      <c r="L177" s="1541">
        <f t="shared" si="14"/>
        <v>357</v>
      </c>
      <c r="M177" s="1541">
        <f t="shared" si="15"/>
        <v>0</v>
      </c>
    </row>
    <row r="178" spans="1:13" x14ac:dyDescent="0.3">
      <c r="A178" s="1852" t="s">
        <v>2678</v>
      </c>
      <c r="B178" s="1462"/>
      <c r="C178" s="1456">
        <v>200</v>
      </c>
      <c r="D178" s="1456">
        <v>200</v>
      </c>
      <c r="E178" s="1462"/>
      <c r="J178" s="1541">
        <f t="shared" si="12"/>
        <v>0</v>
      </c>
      <c r="K178" s="1541">
        <f t="shared" si="13"/>
        <v>200</v>
      </c>
      <c r="L178" s="1541">
        <f t="shared" si="14"/>
        <v>200</v>
      </c>
      <c r="M178" s="1541">
        <f t="shared" si="15"/>
        <v>0</v>
      </c>
    </row>
    <row r="179" spans="1:13" x14ac:dyDescent="0.3">
      <c r="A179" s="1852" t="s">
        <v>2679</v>
      </c>
      <c r="B179" s="1462"/>
      <c r="C179" s="1456">
        <v>1826</v>
      </c>
      <c r="D179" s="1456">
        <v>1826</v>
      </c>
      <c r="E179" s="1462"/>
      <c r="J179" s="1541">
        <f t="shared" si="12"/>
        <v>0</v>
      </c>
      <c r="K179" s="1541">
        <f t="shared" si="13"/>
        <v>1826</v>
      </c>
      <c r="L179" s="1541">
        <f t="shared" si="14"/>
        <v>1826</v>
      </c>
      <c r="M179" s="1541">
        <f t="shared" si="15"/>
        <v>0</v>
      </c>
    </row>
    <row r="180" spans="1:13" x14ac:dyDescent="0.3">
      <c r="A180" s="1852" t="s">
        <v>2680</v>
      </c>
      <c r="B180" s="1462"/>
      <c r="C180" s="1456">
        <v>7494</v>
      </c>
      <c r="D180" s="1456">
        <v>7494</v>
      </c>
      <c r="E180" s="1462"/>
      <c r="J180" s="1541">
        <f t="shared" si="12"/>
        <v>0</v>
      </c>
      <c r="K180" s="1541">
        <f t="shared" si="13"/>
        <v>7494</v>
      </c>
      <c r="L180" s="1541">
        <f t="shared" si="14"/>
        <v>7494</v>
      </c>
      <c r="M180" s="1541">
        <f t="shared" si="15"/>
        <v>0</v>
      </c>
    </row>
    <row r="181" spans="1:13" x14ac:dyDescent="0.3">
      <c r="A181" s="1852" t="s">
        <v>2683</v>
      </c>
      <c r="B181" s="1462"/>
      <c r="C181" s="1456">
        <v>306</v>
      </c>
      <c r="D181" s="1456">
        <v>306</v>
      </c>
      <c r="E181" s="1462"/>
      <c r="J181" s="1541">
        <f t="shared" si="12"/>
        <v>0</v>
      </c>
      <c r="K181" s="1541">
        <f t="shared" si="13"/>
        <v>306</v>
      </c>
      <c r="L181" s="1541">
        <f t="shared" si="14"/>
        <v>306</v>
      </c>
      <c r="M181" s="1541">
        <f t="shared" si="15"/>
        <v>0</v>
      </c>
    </row>
    <row r="182" spans="1:13" x14ac:dyDescent="0.3">
      <c r="A182" s="1852" t="s">
        <v>2684</v>
      </c>
      <c r="B182" s="1462"/>
      <c r="C182" s="1456">
        <v>9232</v>
      </c>
      <c r="D182" s="1456">
        <v>9232</v>
      </c>
      <c r="E182" s="1462"/>
      <c r="J182" s="1541">
        <f t="shared" si="12"/>
        <v>0</v>
      </c>
      <c r="K182" s="1541">
        <f t="shared" si="13"/>
        <v>9232</v>
      </c>
      <c r="L182" s="1541">
        <f t="shared" si="14"/>
        <v>9232</v>
      </c>
      <c r="M182" s="1541">
        <f t="shared" si="15"/>
        <v>0</v>
      </c>
    </row>
    <row r="183" spans="1:13" x14ac:dyDescent="0.3">
      <c r="A183" s="1855" t="s">
        <v>2685</v>
      </c>
      <c r="B183" s="1462"/>
      <c r="C183" s="1456">
        <v>21135</v>
      </c>
      <c r="D183" s="1456">
        <v>21135</v>
      </c>
      <c r="E183" s="1462"/>
      <c r="J183" s="1541">
        <f t="shared" si="12"/>
        <v>0</v>
      </c>
      <c r="K183" s="1541">
        <f t="shared" si="13"/>
        <v>21135</v>
      </c>
      <c r="L183" s="1541">
        <f t="shared" si="14"/>
        <v>21135</v>
      </c>
      <c r="M183" s="1541">
        <f t="shared" si="15"/>
        <v>0</v>
      </c>
    </row>
    <row r="184" spans="1:13" x14ac:dyDescent="0.3">
      <c r="A184" s="1852" t="s">
        <v>2686</v>
      </c>
      <c r="B184" s="1462"/>
      <c r="C184" s="1456">
        <v>3646</v>
      </c>
      <c r="D184" s="1456">
        <v>3646</v>
      </c>
      <c r="E184" s="1462"/>
      <c r="J184" s="1541">
        <f t="shared" si="12"/>
        <v>0</v>
      </c>
      <c r="K184" s="1541">
        <f t="shared" si="13"/>
        <v>3646</v>
      </c>
      <c r="L184" s="1541">
        <f t="shared" si="14"/>
        <v>3646</v>
      </c>
      <c r="M184" s="1541">
        <f t="shared" si="15"/>
        <v>0</v>
      </c>
    </row>
    <row r="185" spans="1:13" x14ac:dyDescent="0.3">
      <c r="A185" s="1852" t="s">
        <v>2687</v>
      </c>
      <c r="B185" s="1462"/>
      <c r="C185" s="1456">
        <v>420</v>
      </c>
      <c r="D185" s="1456">
        <v>420</v>
      </c>
      <c r="E185" s="1462"/>
      <c r="J185" s="1541">
        <f t="shared" si="12"/>
        <v>0</v>
      </c>
      <c r="K185" s="1541">
        <f t="shared" si="13"/>
        <v>420</v>
      </c>
      <c r="L185" s="1541">
        <f t="shared" si="14"/>
        <v>420</v>
      </c>
      <c r="M185" s="1541">
        <f t="shared" si="15"/>
        <v>0</v>
      </c>
    </row>
    <row r="186" spans="1:13" x14ac:dyDescent="0.3">
      <c r="A186" s="1852" t="s">
        <v>2688</v>
      </c>
      <c r="B186" s="1462"/>
      <c r="C186" s="1456">
        <v>20140</v>
      </c>
      <c r="D186" s="1456">
        <v>20140</v>
      </c>
      <c r="E186" s="1462"/>
      <c r="J186" s="1541">
        <f t="shared" si="12"/>
        <v>0</v>
      </c>
      <c r="K186" s="1541">
        <f t="shared" si="13"/>
        <v>20140</v>
      </c>
      <c r="L186" s="1541">
        <f t="shared" si="14"/>
        <v>20140</v>
      </c>
      <c r="M186" s="1541">
        <f t="shared" si="15"/>
        <v>0</v>
      </c>
    </row>
    <row r="187" spans="1:13" x14ac:dyDescent="0.3">
      <c r="A187" s="1852" t="s">
        <v>2689</v>
      </c>
      <c r="B187" s="1462"/>
      <c r="C187" s="1456">
        <v>200</v>
      </c>
      <c r="D187" s="1456">
        <v>200</v>
      </c>
      <c r="E187" s="1462"/>
      <c r="J187" s="1541">
        <f t="shared" si="12"/>
        <v>0</v>
      </c>
      <c r="K187" s="1541">
        <f t="shared" si="13"/>
        <v>200</v>
      </c>
      <c r="L187" s="1541">
        <f t="shared" si="14"/>
        <v>200</v>
      </c>
      <c r="M187" s="1541">
        <f t="shared" si="15"/>
        <v>0</v>
      </c>
    </row>
    <row r="188" spans="1:13" x14ac:dyDescent="0.3">
      <c r="A188" s="1852" t="s">
        <v>2690</v>
      </c>
      <c r="B188" s="1462"/>
      <c r="C188" s="1456">
        <v>14850</v>
      </c>
      <c r="D188" s="1456">
        <v>14850</v>
      </c>
      <c r="E188" s="1462"/>
      <c r="J188" s="1541">
        <f t="shared" si="12"/>
        <v>0</v>
      </c>
      <c r="K188" s="1541">
        <f t="shared" si="13"/>
        <v>14850</v>
      </c>
      <c r="L188" s="1541">
        <f t="shared" si="14"/>
        <v>14850</v>
      </c>
      <c r="M188" s="1541">
        <f t="shared" si="15"/>
        <v>0</v>
      </c>
    </row>
    <row r="189" spans="1:13" x14ac:dyDescent="0.3">
      <c r="A189" s="1855" t="s">
        <v>2691</v>
      </c>
      <c r="B189" s="1462"/>
      <c r="C189" s="1456">
        <v>892</v>
      </c>
      <c r="D189" s="1456">
        <v>892</v>
      </c>
      <c r="E189" s="1462"/>
      <c r="J189" s="1541">
        <f t="shared" si="12"/>
        <v>0</v>
      </c>
      <c r="K189" s="1541">
        <f t="shared" si="13"/>
        <v>892</v>
      </c>
      <c r="L189" s="1541">
        <f t="shared" si="14"/>
        <v>892</v>
      </c>
      <c r="M189" s="1541">
        <f t="shared" si="15"/>
        <v>0</v>
      </c>
    </row>
    <row r="190" spans="1:13" x14ac:dyDescent="0.3">
      <c r="A190" s="1852" t="s">
        <v>2692</v>
      </c>
      <c r="B190" s="1462"/>
      <c r="C190" s="1456">
        <v>4756</v>
      </c>
      <c r="D190" s="1456">
        <v>4756</v>
      </c>
      <c r="E190" s="1462"/>
      <c r="J190" s="1541">
        <f t="shared" si="12"/>
        <v>0</v>
      </c>
      <c r="K190" s="1541">
        <f t="shared" si="13"/>
        <v>4756</v>
      </c>
      <c r="L190" s="1541">
        <f t="shared" si="14"/>
        <v>4756</v>
      </c>
      <c r="M190" s="1541">
        <f t="shared" si="15"/>
        <v>0</v>
      </c>
    </row>
    <row r="191" spans="1:13" x14ac:dyDescent="0.3">
      <c r="A191" s="1852" t="s">
        <v>2693</v>
      </c>
      <c r="B191" s="1462"/>
      <c r="C191" s="1456">
        <v>1536</v>
      </c>
      <c r="D191" s="1456">
        <v>1536</v>
      </c>
      <c r="E191" s="1462"/>
      <c r="J191" s="1541">
        <f t="shared" si="12"/>
        <v>0</v>
      </c>
      <c r="K191" s="1541">
        <f t="shared" si="13"/>
        <v>1536</v>
      </c>
      <c r="L191" s="1541">
        <f t="shared" si="14"/>
        <v>1536</v>
      </c>
      <c r="M191" s="1541">
        <f t="shared" si="15"/>
        <v>0</v>
      </c>
    </row>
    <row r="192" spans="1:13" x14ac:dyDescent="0.3">
      <c r="A192" s="1852" t="s">
        <v>2694</v>
      </c>
      <c r="B192" s="1462"/>
      <c r="C192" s="1456">
        <v>4264</v>
      </c>
      <c r="D192" s="1456">
        <v>4264</v>
      </c>
      <c r="E192" s="1462"/>
      <c r="J192" s="1541">
        <f t="shared" si="12"/>
        <v>0</v>
      </c>
      <c r="K192" s="1541">
        <f t="shared" si="13"/>
        <v>4264</v>
      </c>
      <c r="L192" s="1541">
        <f t="shared" si="14"/>
        <v>4264</v>
      </c>
      <c r="M192" s="1541">
        <f t="shared" si="15"/>
        <v>0</v>
      </c>
    </row>
    <row r="193" spans="1:13" x14ac:dyDescent="0.3">
      <c r="A193" s="1852" t="s">
        <v>2695</v>
      </c>
      <c r="B193" s="1462"/>
      <c r="C193" s="1456">
        <v>4720.0200000000004</v>
      </c>
      <c r="D193" s="1456">
        <v>4720.0200000000004</v>
      </c>
      <c r="E193" s="1462"/>
      <c r="J193" s="1541">
        <f t="shared" si="12"/>
        <v>0</v>
      </c>
      <c r="K193" s="1541">
        <f t="shared" si="13"/>
        <v>4720.0200000000004</v>
      </c>
      <c r="L193" s="1541">
        <f t="shared" si="14"/>
        <v>4720.0200000000004</v>
      </c>
      <c r="M193" s="1541">
        <f t="shared" si="15"/>
        <v>0</v>
      </c>
    </row>
    <row r="194" spans="1:13" x14ac:dyDescent="0.3">
      <c r="A194" s="1852" t="s">
        <v>2696</v>
      </c>
      <c r="B194" s="1462"/>
      <c r="C194" s="1456">
        <v>11730</v>
      </c>
      <c r="D194" s="1456">
        <v>11730</v>
      </c>
      <c r="E194" s="1462"/>
      <c r="J194" s="1541">
        <f t="shared" si="12"/>
        <v>0</v>
      </c>
      <c r="K194" s="1541">
        <f t="shared" si="13"/>
        <v>11730</v>
      </c>
      <c r="L194" s="1541">
        <f t="shared" si="14"/>
        <v>11730</v>
      </c>
      <c r="M194" s="1541">
        <f t="shared" si="15"/>
        <v>0</v>
      </c>
    </row>
    <row r="195" spans="1:13" x14ac:dyDescent="0.3">
      <c r="A195" s="1852" t="s">
        <v>2697</v>
      </c>
      <c r="B195" s="1462"/>
      <c r="C195" s="1456">
        <v>960</v>
      </c>
      <c r="D195" s="1456">
        <v>960</v>
      </c>
      <c r="E195" s="1462"/>
      <c r="J195" s="1541">
        <f t="shared" si="12"/>
        <v>0</v>
      </c>
      <c r="K195" s="1541">
        <f t="shared" si="13"/>
        <v>960</v>
      </c>
      <c r="L195" s="1541">
        <f t="shared" si="14"/>
        <v>960</v>
      </c>
      <c r="M195" s="1541">
        <f t="shared" si="15"/>
        <v>0</v>
      </c>
    </row>
    <row r="196" spans="1:13" x14ac:dyDescent="0.3">
      <c r="A196" s="1852" t="s">
        <v>2698</v>
      </c>
      <c r="B196" s="1462"/>
      <c r="C196" s="1456">
        <v>200</v>
      </c>
      <c r="D196" s="1456">
        <v>200</v>
      </c>
      <c r="E196" s="1462"/>
      <c r="J196" s="1541">
        <f t="shared" si="12"/>
        <v>0</v>
      </c>
      <c r="K196" s="1541">
        <f t="shared" si="13"/>
        <v>200</v>
      </c>
      <c r="L196" s="1541">
        <f t="shared" si="14"/>
        <v>200</v>
      </c>
      <c r="M196" s="1541">
        <f t="shared" si="15"/>
        <v>0</v>
      </c>
    </row>
    <row r="197" spans="1:13" x14ac:dyDescent="0.3">
      <c r="A197" s="1852" t="s">
        <v>2699</v>
      </c>
      <c r="B197" s="1462"/>
      <c r="C197" s="1456">
        <v>4630</v>
      </c>
      <c r="D197" s="1456">
        <v>4630</v>
      </c>
      <c r="E197" s="1462"/>
      <c r="J197" s="1541">
        <f t="shared" si="12"/>
        <v>0</v>
      </c>
      <c r="K197" s="1541">
        <f t="shared" si="13"/>
        <v>4630</v>
      </c>
      <c r="L197" s="1541">
        <f t="shared" si="14"/>
        <v>4630</v>
      </c>
      <c r="M197" s="1541">
        <f t="shared" si="15"/>
        <v>0</v>
      </c>
    </row>
    <row r="198" spans="1:13" x14ac:dyDescent="0.3">
      <c r="A198" s="1852" t="s">
        <v>2700</v>
      </c>
      <c r="B198" s="1462"/>
      <c r="C198" s="1456">
        <v>35040</v>
      </c>
      <c r="D198" s="1456">
        <v>35040</v>
      </c>
      <c r="E198" s="1462"/>
      <c r="J198" s="1541">
        <f t="shared" si="12"/>
        <v>0</v>
      </c>
      <c r="K198" s="1541">
        <f t="shared" si="13"/>
        <v>35040</v>
      </c>
      <c r="L198" s="1541">
        <f t="shared" si="14"/>
        <v>35040</v>
      </c>
      <c r="M198" s="1541">
        <f t="shared" si="15"/>
        <v>0</v>
      </c>
    </row>
    <row r="199" spans="1:13" x14ac:dyDescent="0.3">
      <c r="A199" s="1852" t="s">
        <v>2701</v>
      </c>
      <c r="B199" s="1462"/>
      <c r="C199" s="1456">
        <v>2372</v>
      </c>
      <c r="D199" s="1456">
        <v>2372</v>
      </c>
      <c r="E199" s="1462"/>
      <c r="J199" s="1541">
        <f t="shared" si="12"/>
        <v>0</v>
      </c>
      <c r="K199" s="1541">
        <f t="shared" si="13"/>
        <v>2372</v>
      </c>
      <c r="L199" s="1541">
        <f t="shared" si="14"/>
        <v>2372</v>
      </c>
      <c r="M199" s="1541">
        <f t="shared" si="15"/>
        <v>0</v>
      </c>
    </row>
    <row r="200" spans="1:13" x14ac:dyDescent="0.3">
      <c r="A200" s="1855" t="s">
        <v>2702</v>
      </c>
      <c r="B200" s="1462"/>
      <c r="C200" s="1456">
        <v>22150</v>
      </c>
      <c r="D200" s="1456">
        <v>22150</v>
      </c>
      <c r="E200" s="1462"/>
      <c r="J200" s="1541">
        <f t="shared" si="12"/>
        <v>0</v>
      </c>
      <c r="K200" s="1541">
        <f t="shared" si="13"/>
        <v>22150</v>
      </c>
      <c r="L200" s="1541">
        <f t="shared" si="14"/>
        <v>22150</v>
      </c>
      <c r="M200" s="1541">
        <f t="shared" si="15"/>
        <v>0</v>
      </c>
    </row>
    <row r="201" spans="1:13" x14ac:dyDescent="0.3">
      <c r="A201" s="1852" t="s">
        <v>2703</v>
      </c>
      <c r="B201" s="1462"/>
      <c r="C201" s="1456">
        <v>852</v>
      </c>
      <c r="D201" s="1456">
        <v>852</v>
      </c>
      <c r="E201" s="1462"/>
      <c r="J201" s="1541">
        <f t="shared" si="12"/>
        <v>0</v>
      </c>
      <c r="K201" s="1541">
        <f t="shared" si="13"/>
        <v>852</v>
      </c>
      <c r="L201" s="1541">
        <f t="shared" si="14"/>
        <v>852</v>
      </c>
      <c r="M201" s="1541">
        <f t="shared" si="15"/>
        <v>0</v>
      </c>
    </row>
    <row r="202" spans="1:13" x14ac:dyDescent="0.3">
      <c r="A202" s="1852" t="s">
        <v>2705</v>
      </c>
      <c r="B202" s="1462"/>
      <c r="C202" s="1456">
        <v>525388</v>
      </c>
      <c r="D202" s="1456">
        <v>525388</v>
      </c>
      <c r="E202" s="1462"/>
      <c r="J202" s="1541">
        <f t="shared" si="12"/>
        <v>0</v>
      </c>
      <c r="K202" s="1541">
        <f t="shared" si="13"/>
        <v>525388</v>
      </c>
      <c r="L202" s="1541">
        <f t="shared" si="14"/>
        <v>525388</v>
      </c>
      <c r="M202" s="1541">
        <f t="shared" si="15"/>
        <v>0</v>
      </c>
    </row>
    <row r="203" spans="1:13" x14ac:dyDescent="0.3">
      <c r="A203" s="1852" t="s">
        <v>2707</v>
      </c>
      <c r="B203" s="1462"/>
      <c r="C203" s="1456">
        <v>140</v>
      </c>
      <c r="D203" s="1456">
        <v>140</v>
      </c>
      <c r="E203" s="1462"/>
      <c r="J203" s="1541">
        <f t="shared" si="12"/>
        <v>0</v>
      </c>
      <c r="K203" s="1541">
        <f t="shared" si="13"/>
        <v>140</v>
      </c>
      <c r="L203" s="1541">
        <f t="shared" si="14"/>
        <v>140</v>
      </c>
      <c r="M203" s="1541">
        <f t="shared" si="15"/>
        <v>0</v>
      </c>
    </row>
    <row r="204" spans="1:13" x14ac:dyDescent="0.3">
      <c r="A204" s="1852" t="s">
        <v>2708</v>
      </c>
      <c r="B204" s="1462"/>
      <c r="C204" s="1456">
        <v>3034</v>
      </c>
      <c r="D204" s="1456">
        <v>3034</v>
      </c>
      <c r="E204" s="1462"/>
      <c r="J204" s="1541">
        <f t="shared" si="12"/>
        <v>0</v>
      </c>
      <c r="K204" s="1541">
        <f t="shared" si="13"/>
        <v>3034</v>
      </c>
      <c r="L204" s="1541">
        <f t="shared" si="14"/>
        <v>3034</v>
      </c>
      <c r="M204" s="1541">
        <f t="shared" si="15"/>
        <v>0</v>
      </c>
    </row>
    <row r="205" spans="1:13" x14ac:dyDescent="0.3">
      <c r="A205" s="1852" t="s">
        <v>2709</v>
      </c>
      <c r="B205" s="1462"/>
      <c r="C205" s="1456">
        <v>380</v>
      </c>
      <c r="D205" s="1456">
        <v>380</v>
      </c>
      <c r="E205" s="1462"/>
      <c r="J205" s="1541">
        <f t="shared" si="12"/>
        <v>0</v>
      </c>
      <c r="K205" s="1541">
        <f t="shared" si="13"/>
        <v>380</v>
      </c>
      <c r="L205" s="1541">
        <f t="shared" si="14"/>
        <v>380</v>
      </c>
      <c r="M205" s="1541">
        <f t="shared" si="15"/>
        <v>0</v>
      </c>
    </row>
    <row r="206" spans="1:13" x14ac:dyDescent="0.3">
      <c r="A206" s="1852" t="s">
        <v>2711</v>
      </c>
      <c r="B206" s="1462"/>
      <c r="C206" s="1456">
        <v>520</v>
      </c>
      <c r="D206" s="1456">
        <v>520</v>
      </c>
      <c r="E206" s="1462"/>
      <c r="J206" s="1541">
        <f t="shared" si="12"/>
        <v>0</v>
      </c>
      <c r="K206" s="1541">
        <f t="shared" si="13"/>
        <v>520</v>
      </c>
      <c r="L206" s="1541">
        <f t="shared" si="14"/>
        <v>520</v>
      </c>
      <c r="M206" s="1541">
        <f t="shared" si="15"/>
        <v>0</v>
      </c>
    </row>
    <row r="207" spans="1:13" x14ac:dyDescent="0.3">
      <c r="A207" s="1852" t="s">
        <v>2712</v>
      </c>
      <c r="B207" s="1462"/>
      <c r="C207" s="1456">
        <v>190</v>
      </c>
      <c r="D207" s="1456">
        <v>190</v>
      </c>
      <c r="E207" s="1462"/>
      <c r="J207" s="1541">
        <f t="shared" si="12"/>
        <v>0</v>
      </c>
      <c r="K207" s="1541">
        <f t="shared" si="13"/>
        <v>190</v>
      </c>
      <c r="L207" s="1541">
        <f t="shared" si="14"/>
        <v>190</v>
      </c>
      <c r="M207" s="1541">
        <f t="shared" si="15"/>
        <v>0</v>
      </c>
    </row>
    <row r="208" spans="1:13" x14ac:dyDescent="0.3">
      <c r="A208" s="1852" t="s">
        <v>2713</v>
      </c>
      <c r="B208" s="1462"/>
      <c r="C208" s="1456">
        <v>149800</v>
      </c>
      <c r="D208" s="1456">
        <v>149800</v>
      </c>
      <c r="E208" s="1462"/>
      <c r="J208" s="1541">
        <f t="shared" si="12"/>
        <v>0</v>
      </c>
      <c r="K208" s="1541">
        <f t="shared" si="13"/>
        <v>149800</v>
      </c>
      <c r="L208" s="1541">
        <f t="shared" si="14"/>
        <v>149800</v>
      </c>
      <c r="M208" s="1541">
        <f t="shared" si="15"/>
        <v>0</v>
      </c>
    </row>
    <row r="209" spans="1:13" x14ac:dyDescent="0.3">
      <c r="A209" s="1852" t="s">
        <v>2714</v>
      </c>
      <c r="B209" s="1462"/>
      <c r="C209" s="1456">
        <v>8048</v>
      </c>
      <c r="D209" s="1456">
        <v>8048</v>
      </c>
      <c r="E209" s="1462"/>
      <c r="J209" s="1541">
        <f t="shared" si="12"/>
        <v>0</v>
      </c>
      <c r="K209" s="1541">
        <f t="shared" si="13"/>
        <v>8048</v>
      </c>
      <c r="L209" s="1541">
        <f t="shared" si="14"/>
        <v>8048</v>
      </c>
      <c r="M209" s="1541">
        <f t="shared" si="15"/>
        <v>0</v>
      </c>
    </row>
    <row r="210" spans="1:13" x14ac:dyDescent="0.3">
      <c r="A210" s="1852" t="s">
        <v>2716</v>
      </c>
      <c r="B210" s="1462"/>
      <c r="C210" s="1456">
        <v>356</v>
      </c>
      <c r="D210" s="1456">
        <v>356</v>
      </c>
      <c r="E210" s="1462"/>
      <c r="J210" s="1541">
        <f t="shared" si="12"/>
        <v>0</v>
      </c>
      <c r="K210" s="1541">
        <f t="shared" si="13"/>
        <v>356</v>
      </c>
      <c r="L210" s="1541">
        <f t="shared" si="14"/>
        <v>356</v>
      </c>
      <c r="M210" s="1541">
        <f t="shared" si="15"/>
        <v>0</v>
      </c>
    </row>
    <row r="211" spans="1:13" x14ac:dyDescent="0.3">
      <c r="A211" s="1855" t="s">
        <v>2717</v>
      </c>
      <c r="B211" s="1462"/>
      <c r="C211" s="1456">
        <v>1676</v>
      </c>
      <c r="D211" s="1456">
        <v>1676</v>
      </c>
      <c r="E211" s="1462"/>
      <c r="J211" s="1541">
        <f t="shared" si="12"/>
        <v>0</v>
      </c>
      <c r="K211" s="1541">
        <f t="shared" si="13"/>
        <v>1676</v>
      </c>
      <c r="L211" s="1541">
        <f t="shared" si="14"/>
        <v>1676</v>
      </c>
      <c r="M211" s="1541">
        <f t="shared" si="15"/>
        <v>0</v>
      </c>
    </row>
    <row r="212" spans="1:13" x14ac:dyDescent="0.3">
      <c r="A212" s="1852" t="s">
        <v>2719</v>
      </c>
      <c r="B212" s="1462"/>
      <c r="C212" s="1456">
        <v>420</v>
      </c>
      <c r="D212" s="1456">
        <v>420</v>
      </c>
      <c r="E212" s="1462"/>
      <c r="J212" s="1541">
        <f t="shared" si="12"/>
        <v>0</v>
      </c>
      <c r="K212" s="1541">
        <f t="shared" si="13"/>
        <v>420</v>
      </c>
      <c r="L212" s="1541">
        <f t="shared" si="14"/>
        <v>420</v>
      </c>
      <c r="M212" s="1541">
        <f t="shared" si="15"/>
        <v>0</v>
      </c>
    </row>
    <row r="213" spans="1:13" x14ac:dyDescent="0.3">
      <c r="A213" s="1852" t="s">
        <v>2720</v>
      </c>
      <c r="B213" s="1462"/>
      <c r="C213" s="1456">
        <v>38000</v>
      </c>
      <c r="D213" s="1456">
        <v>38000</v>
      </c>
      <c r="E213" s="1462"/>
      <c r="J213" s="1541">
        <f t="shared" si="12"/>
        <v>0</v>
      </c>
      <c r="K213" s="1541">
        <f t="shared" si="13"/>
        <v>38000</v>
      </c>
      <c r="L213" s="1541">
        <f t="shared" si="14"/>
        <v>38000</v>
      </c>
      <c r="M213" s="1541">
        <f t="shared" si="15"/>
        <v>0</v>
      </c>
    </row>
    <row r="214" spans="1:13" x14ac:dyDescent="0.3">
      <c r="A214" s="1855" t="s">
        <v>2721</v>
      </c>
      <c r="B214" s="1462"/>
      <c r="C214" s="1456">
        <v>10264</v>
      </c>
      <c r="D214" s="1456">
        <v>10264</v>
      </c>
      <c r="E214" s="1462"/>
      <c r="J214" s="1541">
        <f t="shared" si="12"/>
        <v>0</v>
      </c>
      <c r="K214" s="1541">
        <f t="shared" si="13"/>
        <v>10264</v>
      </c>
      <c r="L214" s="1541">
        <f t="shared" si="14"/>
        <v>10264</v>
      </c>
      <c r="M214" s="1541">
        <f t="shared" si="15"/>
        <v>0</v>
      </c>
    </row>
    <row r="215" spans="1:13" x14ac:dyDescent="0.3">
      <c r="A215" s="1852" t="s">
        <v>2722</v>
      </c>
      <c r="B215" s="1462"/>
      <c r="C215" s="1456">
        <v>3890</v>
      </c>
      <c r="D215" s="1456">
        <v>3890</v>
      </c>
      <c r="E215" s="1462"/>
      <c r="J215" s="1541">
        <f t="shared" si="12"/>
        <v>0</v>
      </c>
      <c r="K215" s="1541">
        <f t="shared" si="13"/>
        <v>3890</v>
      </c>
      <c r="L215" s="1541">
        <f t="shared" si="14"/>
        <v>3890</v>
      </c>
      <c r="M215" s="1541">
        <f t="shared" si="15"/>
        <v>0</v>
      </c>
    </row>
    <row r="216" spans="1:13" x14ac:dyDescent="0.3">
      <c r="A216" s="1855" t="s">
        <v>2723</v>
      </c>
      <c r="B216" s="1462"/>
      <c r="C216" s="1456">
        <v>8955</v>
      </c>
      <c r="D216" s="1456">
        <v>8955</v>
      </c>
      <c r="E216" s="1462"/>
      <c r="J216" s="1541">
        <f t="shared" si="12"/>
        <v>0</v>
      </c>
      <c r="K216" s="1541">
        <f t="shared" si="13"/>
        <v>8955</v>
      </c>
      <c r="L216" s="1541">
        <f t="shared" si="14"/>
        <v>8955</v>
      </c>
      <c r="M216" s="1541">
        <f t="shared" si="15"/>
        <v>0</v>
      </c>
    </row>
    <row r="217" spans="1:13" x14ac:dyDescent="0.3">
      <c r="A217" s="1852" t="s">
        <v>2724</v>
      </c>
      <c r="B217" s="1462"/>
      <c r="C217" s="1456">
        <v>11970</v>
      </c>
      <c r="D217" s="1456">
        <v>11970</v>
      </c>
      <c r="E217" s="1462"/>
      <c r="J217" s="1541">
        <f t="shared" si="12"/>
        <v>0</v>
      </c>
      <c r="K217" s="1541">
        <f t="shared" si="13"/>
        <v>11970</v>
      </c>
      <c r="L217" s="1541">
        <f t="shared" si="14"/>
        <v>11970</v>
      </c>
      <c r="M217" s="1541">
        <f t="shared" si="15"/>
        <v>0</v>
      </c>
    </row>
    <row r="218" spans="1:13" x14ac:dyDescent="0.3">
      <c r="A218" s="1852" t="s">
        <v>2725</v>
      </c>
      <c r="B218" s="1462"/>
      <c r="C218" s="1456">
        <v>9476</v>
      </c>
      <c r="D218" s="1456">
        <v>9476</v>
      </c>
      <c r="E218" s="1462"/>
      <c r="J218" s="1541">
        <f t="shared" si="12"/>
        <v>0</v>
      </c>
      <c r="K218" s="1541">
        <f t="shared" si="13"/>
        <v>9476</v>
      </c>
      <c r="L218" s="1541">
        <f t="shared" si="14"/>
        <v>9476</v>
      </c>
      <c r="M218" s="1541">
        <f t="shared" si="15"/>
        <v>0</v>
      </c>
    </row>
    <row r="219" spans="1:13" x14ac:dyDescent="0.3">
      <c r="A219" s="1855" t="s">
        <v>2726</v>
      </c>
      <c r="B219" s="1462"/>
      <c r="C219" s="1456">
        <v>547366</v>
      </c>
      <c r="D219" s="1456">
        <v>547366</v>
      </c>
      <c r="E219" s="1462"/>
      <c r="J219" s="1541">
        <f t="shared" si="12"/>
        <v>0</v>
      </c>
      <c r="K219" s="1541">
        <f t="shared" si="13"/>
        <v>547366</v>
      </c>
      <c r="L219" s="1541">
        <f t="shared" si="14"/>
        <v>547366</v>
      </c>
      <c r="M219" s="1541">
        <f t="shared" si="15"/>
        <v>0</v>
      </c>
    </row>
    <row r="220" spans="1:13" x14ac:dyDescent="0.3">
      <c r="A220" s="1852" t="s">
        <v>2727</v>
      </c>
      <c r="B220" s="1462"/>
      <c r="C220" s="1456">
        <v>3540</v>
      </c>
      <c r="D220" s="1456">
        <v>3540</v>
      </c>
      <c r="E220" s="1462"/>
      <c r="J220" s="1541">
        <f t="shared" si="12"/>
        <v>0</v>
      </c>
      <c r="K220" s="1541">
        <f t="shared" si="13"/>
        <v>3540</v>
      </c>
      <c r="L220" s="1541">
        <f t="shared" si="14"/>
        <v>3540</v>
      </c>
      <c r="M220" s="1541">
        <f t="shared" si="15"/>
        <v>0</v>
      </c>
    </row>
    <row r="221" spans="1:13" x14ac:dyDescent="0.3">
      <c r="A221" s="1852" t="s">
        <v>2728</v>
      </c>
      <c r="B221" s="1462"/>
      <c r="C221" s="1456">
        <v>400</v>
      </c>
      <c r="D221" s="1456">
        <v>400</v>
      </c>
      <c r="E221" s="1462"/>
      <c r="J221" s="1541">
        <f t="shared" si="12"/>
        <v>0</v>
      </c>
      <c r="K221" s="1541">
        <f t="shared" si="13"/>
        <v>400</v>
      </c>
      <c r="L221" s="1541">
        <f t="shared" si="14"/>
        <v>400</v>
      </c>
      <c r="M221" s="1541">
        <f t="shared" si="15"/>
        <v>0</v>
      </c>
    </row>
    <row r="222" spans="1:13" x14ac:dyDescent="0.3">
      <c r="A222" s="1852" t="s">
        <v>2730</v>
      </c>
      <c r="B222" s="1462"/>
      <c r="C222" s="1456">
        <v>876</v>
      </c>
      <c r="D222" s="1456">
        <v>876</v>
      </c>
      <c r="E222" s="1462"/>
      <c r="J222" s="1541">
        <f t="shared" si="12"/>
        <v>0</v>
      </c>
      <c r="K222" s="1541">
        <f t="shared" si="13"/>
        <v>876</v>
      </c>
      <c r="L222" s="1541">
        <f t="shared" si="14"/>
        <v>876</v>
      </c>
      <c r="M222" s="1541">
        <f t="shared" si="15"/>
        <v>0</v>
      </c>
    </row>
    <row r="223" spans="1:13" x14ac:dyDescent="0.3">
      <c r="A223" s="1855" t="s">
        <v>2731</v>
      </c>
      <c r="B223" s="1462"/>
      <c r="C223" s="1456">
        <v>4118</v>
      </c>
      <c r="D223" s="1456">
        <v>4118</v>
      </c>
      <c r="E223" s="1462"/>
      <c r="J223" s="1541">
        <f t="shared" si="12"/>
        <v>0</v>
      </c>
      <c r="K223" s="1541">
        <f t="shared" si="13"/>
        <v>4118</v>
      </c>
      <c r="L223" s="1541">
        <f t="shared" si="14"/>
        <v>4118</v>
      </c>
      <c r="M223" s="1541">
        <f t="shared" si="15"/>
        <v>0</v>
      </c>
    </row>
    <row r="224" spans="1:13" x14ac:dyDescent="0.3">
      <c r="A224" s="1852" t="s">
        <v>2732</v>
      </c>
      <c r="B224" s="1462"/>
      <c r="C224" s="1456">
        <v>140</v>
      </c>
      <c r="D224" s="1456">
        <v>140</v>
      </c>
      <c r="E224" s="1462"/>
      <c r="J224" s="1541">
        <f t="shared" si="12"/>
        <v>0</v>
      </c>
      <c r="K224" s="1541">
        <f t="shared" si="13"/>
        <v>140</v>
      </c>
      <c r="L224" s="1541">
        <f t="shared" si="14"/>
        <v>140</v>
      </c>
      <c r="M224" s="1541">
        <f t="shared" si="15"/>
        <v>0</v>
      </c>
    </row>
    <row r="225" spans="1:13" x14ac:dyDescent="0.3">
      <c r="A225" s="1852" t="s">
        <v>2733</v>
      </c>
      <c r="B225" s="1462"/>
      <c r="C225" s="1456">
        <v>2814</v>
      </c>
      <c r="D225" s="1456">
        <v>2814</v>
      </c>
      <c r="E225" s="1462"/>
      <c r="J225" s="1541">
        <f t="shared" si="12"/>
        <v>0</v>
      </c>
      <c r="K225" s="1541">
        <f t="shared" si="13"/>
        <v>2814</v>
      </c>
      <c r="L225" s="1541">
        <f t="shared" si="14"/>
        <v>2814</v>
      </c>
      <c r="M225" s="1541">
        <f t="shared" si="15"/>
        <v>0</v>
      </c>
    </row>
    <row r="226" spans="1:13" x14ac:dyDescent="0.3">
      <c r="A226" s="1852" t="s">
        <v>2734</v>
      </c>
      <c r="B226" s="1462"/>
      <c r="C226" s="1456">
        <v>21101</v>
      </c>
      <c r="D226" s="1456">
        <v>21101</v>
      </c>
      <c r="E226" s="1462"/>
      <c r="J226" s="1541">
        <f t="shared" ref="J226:J289" si="16">B226+F226</f>
        <v>0</v>
      </c>
      <c r="K226" s="1541">
        <f t="shared" ref="K226:K289" si="17">C226+G226</f>
        <v>21101</v>
      </c>
      <c r="L226" s="1541">
        <f t="shared" ref="L226:L289" si="18">D226+H226</f>
        <v>21101</v>
      </c>
      <c r="M226" s="1541">
        <f t="shared" ref="M226:M289" si="19">E226+I226</f>
        <v>0</v>
      </c>
    </row>
    <row r="227" spans="1:13" x14ac:dyDescent="0.3">
      <c r="A227" s="1852" t="s">
        <v>2735</v>
      </c>
      <c r="B227" s="1462"/>
      <c r="C227" s="1456">
        <v>3232</v>
      </c>
      <c r="D227" s="1456">
        <v>3232</v>
      </c>
      <c r="E227" s="1462"/>
      <c r="J227" s="1541">
        <f t="shared" si="16"/>
        <v>0</v>
      </c>
      <c r="K227" s="1541">
        <f t="shared" si="17"/>
        <v>3232</v>
      </c>
      <c r="L227" s="1541">
        <f t="shared" si="18"/>
        <v>3232</v>
      </c>
      <c r="M227" s="1541">
        <f t="shared" si="19"/>
        <v>0</v>
      </c>
    </row>
    <row r="228" spans="1:13" x14ac:dyDescent="0.3">
      <c r="A228" s="1852" t="s">
        <v>2736</v>
      </c>
      <c r="B228" s="1462"/>
      <c r="C228" s="1456">
        <v>30000</v>
      </c>
      <c r="D228" s="1456">
        <v>30000</v>
      </c>
      <c r="E228" s="1462"/>
      <c r="J228" s="1541">
        <f t="shared" si="16"/>
        <v>0</v>
      </c>
      <c r="K228" s="1541">
        <f t="shared" si="17"/>
        <v>30000</v>
      </c>
      <c r="L228" s="1541">
        <f t="shared" si="18"/>
        <v>30000</v>
      </c>
      <c r="M228" s="1541">
        <f t="shared" si="19"/>
        <v>0</v>
      </c>
    </row>
    <row r="229" spans="1:13" x14ac:dyDescent="0.3">
      <c r="A229" s="1852" t="s">
        <v>2737</v>
      </c>
      <c r="B229" s="1462"/>
      <c r="C229" s="1456">
        <v>330</v>
      </c>
      <c r="D229" s="1456">
        <v>330</v>
      </c>
      <c r="E229" s="1462"/>
      <c r="J229" s="1541">
        <f t="shared" si="16"/>
        <v>0</v>
      </c>
      <c r="K229" s="1541">
        <f t="shared" si="17"/>
        <v>330</v>
      </c>
      <c r="L229" s="1541">
        <f t="shared" si="18"/>
        <v>330</v>
      </c>
      <c r="M229" s="1541">
        <f t="shared" si="19"/>
        <v>0</v>
      </c>
    </row>
    <row r="230" spans="1:13" x14ac:dyDescent="0.3">
      <c r="A230" s="1852" t="s">
        <v>2738</v>
      </c>
      <c r="B230" s="1462"/>
      <c r="C230" s="1456">
        <v>5030</v>
      </c>
      <c r="D230" s="1456">
        <v>5030</v>
      </c>
      <c r="E230" s="1462"/>
      <c r="J230" s="1541">
        <f t="shared" si="16"/>
        <v>0</v>
      </c>
      <c r="K230" s="1541">
        <f t="shared" si="17"/>
        <v>5030</v>
      </c>
      <c r="L230" s="1541">
        <f t="shared" si="18"/>
        <v>5030</v>
      </c>
      <c r="M230" s="1541">
        <f t="shared" si="19"/>
        <v>0</v>
      </c>
    </row>
    <row r="231" spans="1:13" x14ac:dyDescent="0.3">
      <c r="A231" s="1852" t="s">
        <v>2739</v>
      </c>
      <c r="B231" s="1462"/>
      <c r="C231" s="1456">
        <v>7128</v>
      </c>
      <c r="D231" s="1456">
        <v>7128</v>
      </c>
      <c r="E231" s="1462"/>
      <c r="J231" s="1541">
        <f t="shared" si="16"/>
        <v>0</v>
      </c>
      <c r="K231" s="1541">
        <f t="shared" si="17"/>
        <v>7128</v>
      </c>
      <c r="L231" s="1541">
        <f t="shared" si="18"/>
        <v>7128</v>
      </c>
      <c r="M231" s="1541">
        <f t="shared" si="19"/>
        <v>0</v>
      </c>
    </row>
    <row r="232" spans="1:13" x14ac:dyDescent="0.3">
      <c r="A232" s="1852" t="s">
        <v>2741</v>
      </c>
      <c r="B232" s="1462"/>
      <c r="C232" s="1456">
        <v>560</v>
      </c>
      <c r="D232" s="1456">
        <v>560</v>
      </c>
      <c r="E232" s="1462"/>
      <c r="J232" s="1541">
        <f t="shared" si="16"/>
        <v>0</v>
      </c>
      <c r="K232" s="1541">
        <f t="shared" si="17"/>
        <v>560</v>
      </c>
      <c r="L232" s="1541">
        <f t="shared" si="18"/>
        <v>560</v>
      </c>
      <c r="M232" s="1541">
        <f t="shared" si="19"/>
        <v>0</v>
      </c>
    </row>
    <row r="233" spans="1:13" x14ac:dyDescent="0.3">
      <c r="A233" s="1852" t="s">
        <v>2742</v>
      </c>
      <c r="B233" s="1462"/>
      <c r="C233" s="1456">
        <v>2120.0100000000002</v>
      </c>
      <c r="D233" s="1456">
        <v>2120.0100000000002</v>
      </c>
      <c r="E233" s="1462"/>
      <c r="J233" s="1541">
        <f t="shared" si="16"/>
        <v>0</v>
      </c>
      <c r="K233" s="1541">
        <f t="shared" si="17"/>
        <v>2120.0100000000002</v>
      </c>
      <c r="L233" s="1541">
        <f t="shared" si="18"/>
        <v>2120.0100000000002</v>
      </c>
      <c r="M233" s="1541">
        <f t="shared" si="19"/>
        <v>0</v>
      </c>
    </row>
    <row r="234" spans="1:13" x14ac:dyDescent="0.3">
      <c r="A234" s="1852" t="s">
        <v>2743</v>
      </c>
      <c r="B234" s="1462"/>
      <c r="C234" s="1456">
        <v>1210</v>
      </c>
      <c r="D234" s="1456">
        <v>1210</v>
      </c>
      <c r="E234" s="1462"/>
      <c r="J234" s="1541">
        <f t="shared" si="16"/>
        <v>0</v>
      </c>
      <c r="K234" s="1541">
        <f t="shared" si="17"/>
        <v>1210</v>
      </c>
      <c r="L234" s="1541">
        <f t="shared" si="18"/>
        <v>1210</v>
      </c>
      <c r="M234" s="1541">
        <f t="shared" si="19"/>
        <v>0</v>
      </c>
    </row>
    <row r="235" spans="1:13" x14ac:dyDescent="0.3">
      <c r="A235" s="1852" t="s">
        <v>2744</v>
      </c>
      <c r="B235" s="1462"/>
      <c r="C235" s="1456">
        <v>22600</v>
      </c>
      <c r="D235" s="1456">
        <v>22600</v>
      </c>
      <c r="E235" s="1462"/>
      <c r="J235" s="1541">
        <f t="shared" si="16"/>
        <v>0</v>
      </c>
      <c r="K235" s="1541">
        <f t="shared" si="17"/>
        <v>22600</v>
      </c>
      <c r="L235" s="1541">
        <f t="shared" si="18"/>
        <v>22600</v>
      </c>
      <c r="M235" s="1541">
        <f t="shared" si="19"/>
        <v>0</v>
      </c>
    </row>
    <row r="236" spans="1:13" x14ac:dyDescent="0.3">
      <c r="A236" s="1852" t="s">
        <v>2745</v>
      </c>
      <c r="B236" s="1462"/>
      <c r="C236" s="1456">
        <v>498</v>
      </c>
      <c r="D236" s="1456">
        <v>498</v>
      </c>
      <c r="E236" s="1462"/>
      <c r="J236" s="1541">
        <f t="shared" si="16"/>
        <v>0</v>
      </c>
      <c r="K236" s="1541">
        <f t="shared" si="17"/>
        <v>498</v>
      </c>
      <c r="L236" s="1541">
        <f t="shared" si="18"/>
        <v>498</v>
      </c>
      <c r="M236" s="1541">
        <f t="shared" si="19"/>
        <v>0</v>
      </c>
    </row>
    <row r="237" spans="1:13" x14ac:dyDescent="0.3">
      <c r="A237" s="1852" t="s">
        <v>2746</v>
      </c>
      <c r="B237" s="1462"/>
      <c r="C237" s="1456">
        <v>19030</v>
      </c>
      <c r="D237" s="1456">
        <v>19030</v>
      </c>
      <c r="E237" s="1462"/>
      <c r="J237" s="1541">
        <f t="shared" si="16"/>
        <v>0</v>
      </c>
      <c r="K237" s="1541">
        <f t="shared" si="17"/>
        <v>19030</v>
      </c>
      <c r="L237" s="1541">
        <f t="shared" si="18"/>
        <v>19030</v>
      </c>
      <c r="M237" s="1541">
        <f t="shared" si="19"/>
        <v>0</v>
      </c>
    </row>
    <row r="238" spans="1:13" x14ac:dyDescent="0.3">
      <c r="A238" s="1855" t="s">
        <v>2747</v>
      </c>
      <c r="B238" s="1462"/>
      <c r="C238" s="1456">
        <v>400</v>
      </c>
      <c r="D238" s="1456">
        <v>400</v>
      </c>
      <c r="E238" s="1462"/>
      <c r="J238" s="1541">
        <f t="shared" si="16"/>
        <v>0</v>
      </c>
      <c r="K238" s="1541">
        <f t="shared" si="17"/>
        <v>400</v>
      </c>
      <c r="L238" s="1541">
        <f t="shared" si="18"/>
        <v>400</v>
      </c>
      <c r="M238" s="1541">
        <f t="shared" si="19"/>
        <v>0</v>
      </c>
    </row>
    <row r="239" spans="1:13" x14ac:dyDescent="0.3">
      <c r="A239" s="1855" t="s">
        <v>2748</v>
      </c>
      <c r="B239" s="1462"/>
      <c r="C239" s="1456">
        <v>2800</v>
      </c>
      <c r="D239" s="1456">
        <v>2800</v>
      </c>
      <c r="E239" s="1462"/>
      <c r="J239" s="1541">
        <f t="shared" si="16"/>
        <v>0</v>
      </c>
      <c r="K239" s="1541">
        <f t="shared" si="17"/>
        <v>2800</v>
      </c>
      <c r="L239" s="1541">
        <f t="shared" si="18"/>
        <v>2800</v>
      </c>
      <c r="M239" s="1541">
        <f t="shared" si="19"/>
        <v>0</v>
      </c>
    </row>
    <row r="240" spans="1:13" x14ac:dyDescent="0.3">
      <c r="A240" s="1852" t="s">
        <v>2749</v>
      </c>
      <c r="B240" s="1462"/>
      <c r="C240" s="1456">
        <v>1660</v>
      </c>
      <c r="D240" s="1456">
        <v>1660</v>
      </c>
      <c r="E240" s="1462"/>
      <c r="J240" s="1541">
        <f t="shared" si="16"/>
        <v>0</v>
      </c>
      <c r="K240" s="1541">
        <f t="shared" si="17"/>
        <v>1660</v>
      </c>
      <c r="L240" s="1541">
        <f t="shared" si="18"/>
        <v>1660</v>
      </c>
      <c r="M240" s="1541">
        <f t="shared" si="19"/>
        <v>0</v>
      </c>
    </row>
    <row r="241" spans="1:13" x14ac:dyDescent="0.3">
      <c r="A241" s="1852" t="s">
        <v>2750</v>
      </c>
      <c r="B241" s="1462"/>
      <c r="C241" s="1456">
        <v>1472</v>
      </c>
      <c r="D241" s="1456">
        <v>1472</v>
      </c>
      <c r="E241" s="1462"/>
      <c r="J241" s="1541">
        <f t="shared" si="16"/>
        <v>0</v>
      </c>
      <c r="K241" s="1541">
        <f t="shared" si="17"/>
        <v>1472</v>
      </c>
      <c r="L241" s="1541">
        <f t="shared" si="18"/>
        <v>1472</v>
      </c>
      <c r="M241" s="1541">
        <f t="shared" si="19"/>
        <v>0</v>
      </c>
    </row>
    <row r="242" spans="1:13" x14ac:dyDescent="0.3">
      <c r="A242" s="1852" t="s">
        <v>2751</v>
      </c>
      <c r="B242" s="1462"/>
      <c r="C242" s="1456">
        <v>22195</v>
      </c>
      <c r="D242" s="1456">
        <v>22195</v>
      </c>
      <c r="E242" s="1462"/>
      <c r="J242" s="1541">
        <f t="shared" si="16"/>
        <v>0</v>
      </c>
      <c r="K242" s="1541">
        <f t="shared" si="17"/>
        <v>22195</v>
      </c>
      <c r="L242" s="1541">
        <f t="shared" si="18"/>
        <v>22195</v>
      </c>
      <c r="M242" s="1541">
        <f t="shared" si="19"/>
        <v>0</v>
      </c>
    </row>
    <row r="243" spans="1:13" x14ac:dyDescent="0.3">
      <c r="A243" s="1852" t="s">
        <v>2752</v>
      </c>
      <c r="B243" s="1462"/>
      <c r="C243" s="1456">
        <v>50540</v>
      </c>
      <c r="D243" s="1456">
        <v>50540</v>
      </c>
      <c r="E243" s="1462"/>
      <c r="J243" s="1541">
        <f t="shared" si="16"/>
        <v>0</v>
      </c>
      <c r="K243" s="1541">
        <f t="shared" si="17"/>
        <v>50540</v>
      </c>
      <c r="L243" s="1541">
        <f t="shared" si="18"/>
        <v>50540</v>
      </c>
      <c r="M243" s="1541">
        <f t="shared" si="19"/>
        <v>0</v>
      </c>
    </row>
    <row r="244" spans="1:13" x14ac:dyDescent="0.3">
      <c r="A244" s="1852" t="s">
        <v>2753</v>
      </c>
      <c r="B244" s="1462"/>
      <c r="C244" s="1456">
        <v>17132</v>
      </c>
      <c r="D244" s="1456">
        <v>17132</v>
      </c>
      <c r="E244" s="1462"/>
      <c r="J244" s="1541">
        <f t="shared" si="16"/>
        <v>0</v>
      </c>
      <c r="K244" s="1541">
        <f t="shared" si="17"/>
        <v>17132</v>
      </c>
      <c r="L244" s="1541">
        <f t="shared" si="18"/>
        <v>17132</v>
      </c>
      <c r="M244" s="1541">
        <f t="shared" si="19"/>
        <v>0</v>
      </c>
    </row>
    <row r="245" spans="1:13" x14ac:dyDescent="0.3">
      <c r="A245" s="1852" t="s">
        <v>2754</v>
      </c>
      <c r="B245" s="1462"/>
      <c r="C245" s="1456">
        <v>1318</v>
      </c>
      <c r="D245" s="1456">
        <v>1318</v>
      </c>
      <c r="E245" s="1462"/>
      <c r="J245" s="1541">
        <f t="shared" si="16"/>
        <v>0</v>
      </c>
      <c r="K245" s="1541">
        <f t="shared" si="17"/>
        <v>1318</v>
      </c>
      <c r="L245" s="1541">
        <f t="shared" si="18"/>
        <v>1318</v>
      </c>
      <c r="M245" s="1541">
        <f t="shared" si="19"/>
        <v>0</v>
      </c>
    </row>
    <row r="246" spans="1:13" x14ac:dyDescent="0.3">
      <c r="A246" s="1852" t="s">
        <v>2755</v>
      </c>
      <c r="B246" s="1462"/>
      <c r="C246" s="1456">
        <v>800</v>
      </c>
      <c r="D246" s="1456">
        <v>800</v>
      </c>
      <c r="E246" s="1462"/>
      <c r="J246" s="1541">
        <f t="shared" si="16"/>
        <v>0</v>
      </c>
      <c r="K246" s="1541">
        <f t="shared" si="17"/>
        <v>800</v>
      </c>
      <c r="L246" s="1541">
        <f t="shared" si="18"/>
        <v>800</v>
      </c>
      <c r="M246" s="1541">
        <f t="shared" si="19"/>
        <v>0</v>
      </c>
    </row>
    <row r="247" spans="1:13" x14ac:dyDescent="0.3">
      <c r="A247" s="1852" t="s">
        <v>2756</v>
      </c>
      <c r="B247" s="1462"/>
      <c r="C247" s="1456">
        <v>2556</v>
      </c>
      <c r="D247" s="1456">
        <v>2556</v>
      </c>
      <c r="E247" s="1462"/>
      <c r="J247" s="1541">
        <f t="shared" si="16"/>
        <v>0</v>
      </c>
      <c r="K247" s="1541">
        <f t="shared" si="17"/>
        <v>2556</v>
      </c>
      <c r="L247" s="1541">
        <f t="shared" si="18"/>
        <v>2556</v>
      </c>
      <c r="M247" s="1541">
        <f t="shared" si="19"/>
        <v>0</v>
      </c>
    </row>
    <row r="248" spans="1:13" x14ac:dyDescent="0.3">
      <c r="A248" s="1852" t="s">
        <v>2757</v>
      </c>
      <c r="B248" s="1462"/>
      <c r="C248" s="1456">
        <v>1980</v>
      </c>
      <c r="D248" s="1456">
        <v>1980</v>
      </c>
      <c r="E248" s="1462"/>
      <c r="J248" s="1541">
        <f t="shared" si="16"/>
        <v>0</v>
      </c>
      <c r="K248" s="1541">
        <f t="shared" si="17"/>
        <v>1980</v>
      </c>
      <c r="L248" s="1541">
        <f t="shared" si="18"/>
        <v>1980</v>
      </c>
      <c r="M248" s="1541">
        <f t="shared" si="19"/>
        <v>0</v>
      </c>
    </row>
    <row r="249" spans="1:13" x14ac:dyDescent="0.3">
      <c r="A249" s="1852" t="s">
        <v>2759</v>
      </c>
      <c r="B249" s="1462"/>
      <c r="C249" s="1456">
        <v>7840</v>
      </c>
      <c r="D249" s="1456">
        <v>7840</v>
      </c>
      <c r="E249" s="1462"/>
      <c r="J249" s="1541">
        <f t="shared" si="16"/>
        <v>0</v>
      </c>
      <c r="K249" s="1541">
        <f t="shared" si="17"/>
        <v>7840</v>
      </c>
      <c r="L249" s="1541">
        <f t="shared" si="18"/>
        <v>7840</v>
      </c>
      <c r="M249" s="1541">
        <f t="shared" si="19"/>
        <v>0</v>
      </c>
    </row>
    <row r="250" spans="1:13" x14ac:dyDescent="0.3">
      <c r="A250" s="1852" t="s">
        <v>2760</v>
      </c>
      <c r="B250" s="1462"/>
      <c r="C250" s="1456">
        <v>332</v>
      </c>
      <c r="D250" s="1456">
        <v>332</v>
      </c>
      <c r="E250" s="1462"/>
      <c r="J250" s="1541">
        <f t="shared" si="16"/>
        <v>0</v>
      </c>
      <c r="K250" s="1541">
        <f t="shared" si="17"/>
        <v>332</v>
      </c>
      <c r="L250" s="1541">
        <f t="shared" si="18"/>
        <v>332</v>
      </c>
      <c r="M250" s="1541">
        <f t="shared" si="19"/>
        <v>0</v>
      </c>
    </row>
    <row r="251" spans="1:13" x14ac:dyDescent="0.3">
      <c r="A251" s="1852" t="s">
        <v>2761</v>
      </c>
      <c r="B251" s="1462"/>
      <c r="C251" s="1456">
        <v>306</v>
      </c>
      <c r="D251" s="1456">
        <v>306</v>
      </c>
      <c r="E251" s="1462"/>
      <c r="J251" s="1541">
        <f t="shared" si="16"/>
        <v>0</v>
      </c>
      <c r="K251" s="1541">
        <f t="shared" si="17"/>
        <v>306</v>
      </c>
      <c r="L251" s="1541">
        <f t="shared" si="18"/>
        <v>306</v>
      </c>
      <c r="M251" s="1541">
        <f t="shared" si="19"/>
        <v>0</v>
      </c>
    </row>
    <row r="252" spans="1:13" x14ac:dyDescent="0.3">
      <c r="A252" s="1852" t="s">
        <v>2762</v>
      </c>
      <c r="B252" s="1462"/>
      <c r="C252" s="1456">
        <v>400</v>
      </c>
      <c r="D252" s="1456">
        <v>400</v>
      </c>
      <c r="E252" s="1462"/>
      <c r="J252" s="1541">
        <f t="shared" si="16"/>
        <v>0</v>
      </c>
      <c r="K252" s="1541">
        <f t="shared" si="17"/>
        <v>400</v>
      </c>
      <c r="L252" s="1541">
        <f t="shared" si="18"/>
        <v>400</v>
      </c>
      <c r="M252" s="1541">
        <f t="shared" si="19"/>
        <v>0</v>
      </c>
    </row>
    <row r="253" spans="1:13" x14ac:dyDescent="0.3">
      <c r="A253" s="1852" t="s">
        <v>2763</v>
      </c>
      <c r="B253" s="1462"/>
      <c r="C253" s="1456">
        <v>712</v>
      </c>
      <c r="D253" s="1456">
        <v>712</v>
      </c>
      <c r="E253" s="1462"/>
      <c r="J253" s="1541">
        <f t="shared" si="16"/>
        <v>0</v>
      </c>
      <c r="K253" s="1541">
        <f t="shared" si="17"/>
        <v>712</v>
      </c>
      <c r="L253" s="1541">
        <f t="shared" si="18"/>
        <v>712</v>
      </c>
      <c r="M253" s="1541">
        <f t="shared" si="19"/>
        <v>0</v>
      </c>
    </row>
    <row r="254" spans="1:13" x14ac:dyDescent="0.3">
      <c r="A254" s="1855" t="s">
        <v>2764</v>
      </c>
      <c r="B254" s="1462"/>
      <c r="C254" s="1456">
        <v>7046</v>
      </c>
      <c r="D254" s="1456">
        <v>7046</v>
      </c>
      <c r="E254" s="1462"/>
      <c r="J254" s="1541">
        <f t="shared" si="16"/>
        <v>0</v>
      </c>
      <c r="K254" s="1541">
        <f t="shared" si="17"/>
        <v>7046</v>
      </c>
      <c r="L254" s="1541">
        <f t="shared" si="18"/>
        <v>7046</v>
      </c>
      <c r="M254" s="1541">
        <f t="shared" si="19"/>
        <v>0</v>
      </c>
    </row>
    <row r="255" spans="1:13" x14ac:dyDescent="0.3">
      <c r="A255" s="1852" t="s">
        <v>2765</v>
      </c>
      <c r="B255" s="1462"/>
      <c r="C255" s="1456">
        <v>400</v>
      </c>
      <c r="D255" s="1456">
        <v>400</v>
      </c>
      <c r="E255" s="1462"/>
      <c r="J255" s="1541">
        <f t="shared" si="16"/>
        <v>0</v>
      </c>
      <c r="K255" s="1541">
        <f t="shared" si="17"/>
        <v>400</v>
      </c>
      <c r="L255" s="1541">
        <f t="shared" si="18"/>
        <v>400</v>
      </c>
      <c r="M255" s="1541">
        <f t="shared" si="19"/>
        <v>0</v>
      </c>
    </row>
    <row r="256" spans="1:13" x14ac:dyDescent="0.3">
      <c r="A256" s="1852" t="s">
        <v>2767</v>
      </c>
      <c r="B256" s="1462"/>
      <c r="C256" s="1456">
        <v>3170</v>
      </c>
      <c r="D256" s="1456">
        <v>3170</v>
      </c>
      <c r="E256" s="1462"/>
      <c r="J256" s="1541">
        <f t="shared" si="16"/>
        <v>0</v>
      </c>
      <c r="K256" s="1541">
        <f t="shared" si="17"/>
        <v>3170</v>
      </c>
      <c r="L256" s="1541">
        <f t="shared" si="18"/>
        <v>3170</v>
      </c>
      <c r="M256" s="1541">
        <f t="shared" si="19"/>
        <v>0</v>
      </c>
    </row>
    <row r="257" spans="1:13" x14ac:dyDescent="0.3">
      <c r="A257" s="1852" t="s">
        <v>2768</v>
      </c>
      <c r="B257" s="1462"/>
      <c r="C257" s="1456">
        <v>190</v>
      </c>
      <c r="D257" s="1456">
        <v>190</v>
      </c>
      <c r="E257" s="1462"/>
      <c r="J257" s="1541">
        <f t="shared" si="16"/>
        <v>0</v>
      </c>
      <c r="K257" s="1541">
        <f t="shared" si="17"/>
        <v>190</v>
      </c>
      <c r="L257" s="1541">
        <f t="shared" si="18"/>
        <v>190</v>
      </c>
      <c r="M257" s="1541">
        <f t="shared" si="19"/>
        <v>0</v>
      </c>
    </row>
    <row r="258" spans="1:13" x14ac:dyDescent="0.3">
      <c r="A258" s="1852" t="s">
        <v>2769</v>
      </c>
      <c r="B258" s="1462"/>
      <c r="C258" s="1456">
        <v>2490</v>
      </c>
      <c r="D258" s="1456">
        <v>2490</v>
      </c>
      <c r="E258" s="1462"/>
      <c r="J258" s="1541">
        <f t="shared" si="16"/>
        <v>0</v>
      </c>
      <c r="K258" s="1541">
        <f t="shared" si="17"/>
        <v>2490</v>
      </c>
      <c r="L258" s="1541">
        <f t="shared" si="18"/>
        <v>2490</v>
      </c>
      <c r="M258" s="1541">
        <f t="shared" si="19"/>
        <v>0</v>
      </c>
    </row>
    <row r="259" spans="1:13" x14ac:dyDescent="0.3">
      <c r="A259" s="1852" t="s">
        <v>2770</v>
      </c>
      <c r="B259" s="1462"/>
      <c r="C259" s="1456">
        <v>40291</v>
      </c>
      <c r="D259" s="1456">
        <v>40291</v>
      </c>
      <c r="E259" s="1462"/>
      <c r="J259" s="1541">
        <f t="shared" si="16"/>
        <v>0</v>
      </c>
      <c r="K259" s="1541">
        <f t="shared" si="17"/>
        <v>40291</v>
      </c>
      <c r="L259" s="1541">
        <f t="shared" si="18"/>
        <v>40291</v>
      </c>
      <c r="M259" s="1541">
        <f t="shared" si="19"/>
        <v>0</v>
      </c>
    </row>
    <row r="260" spans="1:13" x14ac:dyDescent="0.3">
      <c r="A260" s="1852" t="s">
        <v>2771</v>
      </c>
      <c r="B260" s="1462"/>
      <c r="C260" s="1456">
        <v>570</v>
      </c>
      <c r="D260" s="1456">
        <v>570</v>
      </c>
      <c r="E260" s="1462"/>
      <c r="J260" s="1541">
        <f t="shared" si="16"/>
        <v>0</v>
      </c>
      <c r="K260" s="1541">
        <f t="shared" si="17"/>
        <v>570</v>
      </c>
      <c r="L260" s="1541">
        <f t="shared" si="18"/>
        <v>570</v>
      </c>
      <c r="M260" s="1541">
        <f t="shared" si="19"/>
        <v>0</v>
      </c>
    </row>
    <row r="261" spans="1:13" x14ac:dyDescent="0.3">
      <c r="A261" s="1852" t="s">
        <v>2772</v>
      </c>
      <c r="B261" s="1462"/>
      <c r="C261" s="1456">
        <v>520</v>
      </c>
      <c r="D261" s="1456">
        <v>520</v>
      </c>
      <c r="E261" s="1462"/>
      <c r="J261" s="1541">
        <f t="shared" si="16"/>
        <v>0</v>
      </c>
      <c r="K261" s="1541">
        <f t="shared" si="17"/>
        <v>520</v>
      </c>
      <c r="L261" s="1541">
        <f t="shared" si="18"/>
        <v>520</v>
      </c>
      <c r="M261" s="1541">
        <f t="shared" si="19"/>
        <v>0</v>
      </c>
    </row>
    <row r="262" spans="1:13" x14ac:dyDescent="0.3">
      <c r="A262" s="1852" t="s">
        <v>2773</v>
      </c>
      <c r="B262" s="1462"/>
      <c r="C262" s="1456">
        <v>1566</v>
      </c>
      <c r="D262" s="1456">
        <v>1566</v>
      </c>
      <c r="E262" s="1462"/>
      <c r="J262" s="1541">
        <f t="shared" si="16"/>
        <v>0</v>
      </c>
      <c r="K262" s="1541">
        <f t="shared" si="17"/>
        <v>1566</v>
      </c>
      <c r="L262" s="1541">
        <f t="shared" si="18"/>
        <v>1566</v>
      </c>
      <c r="M262" s="1541">
        <f t="shared" si="19"/>
        <v>0</v>
      </c>
    </row>
    <row r="263" spans="1:13" x14ac:dyDescent="0.3">
      <c r="A263" s="1855" t="s">
        <v>2775</v>
      </c>
      <c r="B263" s="1462"/>
      <c r="C263" s="1456">
        <v>190</v>
      </c>
      <c r="D263" s="1456">
        <v>190</v>
      </c>
      <c r="E263" s="1462"/>
      <c r="J263" s="1541">
        <f t="shared" si="16"/>
        <v>0</v>
      </c>
      <c r="K263" s="1541">
        <f t="shared" si="17"/>
        <v>190</v>
      </c>
      <c r="L263" s="1541">
        <f t="shared" si="18"/>
        <v>190</v>
      </c>
      <c r="M263" s="1541">
        <f t="shared" si="19"/>
        <v>0</v>
      </c>
    </row>
    <row r="264" spans="1:13" x14ac:dyDescent="0.3">
      <c r="A264" s="1855" t="s">
        <v>2776</v>
      </c>
      <c r="B264" s="1462"/>
      <c r="C264" s="1456">
        <v>1224</v>
      </c>
      <c r="D264" s="1456">
        <v>1224</v>
      </c>
      <c r="E264" s="1462"/>
      <c r="J264" s="1541">
        <f t="shared" si="16"/>
        <v>0</v>
      </c>
      <c r="K264" s="1541">
        <f t="shared" si="17"/>
        <v>1224</v>
      </c>
      <c r="L264" s="1541">
        <f t="shared" si="18"/>
        <v>1224</v>
      </c>
      <c r="M264" s="1541">
        <f t="shared" si="19"/>
        <v>0</v>
      </c>
    </row>
    <row r="265" spans="1:13" x14ac:dyDescent="0.3">
      <c r="A265" s="1855" t="s">
        <v>2777</v>
      </c>
      <c r="B265" s="1462"/>
      <c r="C265" s="1456">
        <v>4058</v>
      </c>
      <c r="D265" s="1456">
        <v>4058</v>
      </c>
      <c r="E265" s="1462"/>
      <c r="J265" s="1541">
        <f t="shared" si="16"/>
        <v>0</v>
      </c>
      <c r="K265" s="1541">
        <f t="shared" si="17"/>
        <v>4058</v>
      </c>
      <c r="L265" s="1541">
        <f t="shared" si="18"/>
        <v>4058</v>
      </c>
      <c r="M265" s="1541">
        <f t="shared" si="19"/>
        <v>0</v>
      </c>
    </row>
    <row r="266" spans="1:13" x14ac:dyDescent="0.3">
      <c r="A266" s="1852" t="s">
        <v>2778</v>
      </c>
      <c r="B266" s="1462"/>
      <c r="C266" s="1456">
        <v>480</v>
      </c>
      <c r="D266" s="1456">
        <v>480</v>
      </c>
      <c r="E266" s="1462"/>
      <c r="J266" s="1541">
        <f t="shared" si="16"/>
        <v>0</v>
      </c>
      <c r="K266" s="1541">
        <f t="shared" si="17"/>
        <v>480</v>
      </c>
      <c r="L266" s="1541">
        <f t="shared" si="18"/>
        <v>480</v>
      </c>
      <c r="M266" s="1541">
        <f t="shared" si="19"/>
        <v>0</v>
      </c>
    </row>
    <row r="267" spans="1:13" x14ac:dyDescent="0.3">
      <c r="A267" s="1855" t="s">
        <v>2779</v>
      </c>
      <c r="B267" s="1462"/>
      <c r="C267" s="1456">
        <v>3980</v>
      </c>
      <c r="D267" s="1456">
        <v>3980</v>
      </c>
      <c r="E267" s="1462"/>
      <c r="J267" s="1541">
        <f t="shared" si="16"/>
        <v>0</v>
      </c>
      <c r="K267" s="1541">
        <f t="shared" si="17"/>
        <v>3980</v>
      </c>
      <c r="L267" s="1541">
        <f t="shared" si="18"/>
        <v>3980</v>
      </c>
      <c r="M267" s="1541">
        <f t="shared" si="19"/>
        <v>0</v>
      </c>
    </row>
    <row r="268" spans="1:13" x14ac:dyDescent="0.3">
      <c r="A268" s="1852" t="s">
        <v>2780</v>
      </c>
      <c r="B268" s="1462"/>
      <c r="C268" s="1456">
        <v>69825</v>
      </c>
      <c r="D268" s="1456">
        <v>69825</v>
      </c>
      <c r="E268" s="1462"/>
      <c r="J268" s="1541">
        <f t="shared" si="16"/>
        <v>0</v>
      </c>
      <c r="K268" s="1541">
        <f t="shared" si="17"/>
        <v>69825</v>
      </c>
      <c r="L268" s="1541">
        <f t="shared" si="18"/>
        <v>69825</v>
      </c>
      <c r="M268" s="1541">
        <f t="shared" si="19"/>
        <v>0</v>
      </c>
    </row>
    <row r="269" spans="1:13" x14ac:dyDescent="0.3">
      <c r="A269" s="1855" t="s">
        <v>2781</v>
      </c>
      <c r="B269" s="1462"/>
      <c r="C269" s="1456">
        <v>2831</v>
      </c>
      <c r="D269" s="1456">
        <v>2831</v>
      </c>
      <c r="E269" s="1462"/>
      <c r="J269" s="1541">
        <f t="shared" si="16"/>
        <v>0</v>
      </c>
      <c r="K269" s="1541">
        <f t="shared" si="17"/>
        <v>2831</v>
      </c>
      <c r="L269" s="1541">
        <f t="shared" si="18"/>
        <v>2831</v>
      </c>
      <c r="M269" s="1541">
        <f t="shared" si="19"/>
        <v>0</v>
      </c>
    </row>
    <row r="270" spans="1:13" x14ac:dyDescent="0.3">
      <c r="A270" s="1852" t="s">
        <v>2782</v>
      </c>
      <c r="B270" s="1462"/>
      <c r="C270" s="1456">
        <v>24000</v>
      </c>
      <c r="D270" s="1456">
        <v>24000</v>
      </c>
      <c r="E270" s="1462"/>
      <c r="J270" s="1541">
        <f t="shared" si="16"/>
        <v>0</v>
      </c>
      <c r="K270" s="1541">
        <f t="shared" si="17"/>
        <v>24000</v>
      </c>
      <c r="L270" s="1541">
        <f t="shared" si="18"/>
        <v>24000</v>
      </c>
      <c r="M270" s="1541">
        <f t="shared" si="19"/>
        <v>0</v>
      </c>
    </row>
    <row r="271" spans="1:13" x14ac:dyDescent="0.3">
      <c r="A271" s="1855" t="s">
        <v>2783</v>
      </c>
      <c r="B271" s="1462"/>
      <c r="C271" s="1456">
        <v>1156</v>
      </c>
      <c r="D271" s="1456">
        <v>1156</v>
      </c>
      <c r="E271" s="1462"/>
      <c r="J271" s="1541">
        <f t="shared" si="16"/>
        <v>0</v>
      </c>
      <c r="K271" s="1541">
        <f t="shared" si="17"/>
        <v>1156</v>
      </c>
      <c r="L271" s="1541">
        <f t="shared" si="18"/>
        <v>1156</v>
      </c>
      <c r="M271" s="1541">
        <f t="shared" si="19"/>
        <v>0</v>
      </c>
    </row>
    <row r="272" spans="1:13" x14ac:dyDescent="0.3">
      <c r="A272" s="1852" t="s">
        <v>2785</v>
      </c>
      <c r="B272" s="1462"/>
      <c r="C272" s="1456">
        <v>26012</v>
      </c>
      <c r="D272" s="1456">
        <v>26012</v>
      </c>
      <c r="E272" s="1462"/>
      <c r="J272" s="1541">
        <f t="shared" si="16"/>
        <v>0</v>
      </c>
      <c r="K272" s="1541">
        <f t="shared" si="17"/>
        <v>26012</v>
      </c>
      <c r="L272" s="1541">
        <f t="shared" si="18"/>
        <v>26012</v>
      </c>
      <c r="M272" s="1541">
        <f t="shared" si="19"/>
        <v>0</v>
      </c>
    </row>
    <row r="273" spans="1:13" x14ac:dyDescent="0.3">
      <c r="A273" s="1855" t="s">
        <v>2786</v>
      </c>
      <c r="B273" s="1462"/>
      <c r="C273" s="1456">
        <v>646</v>
      </c>
      <c r="D273" s="1456">
        <v>646</v>
      </c>
      <c r="E273" s="1462"/>
      <c r="J273" s="1541">
        <f t="shared" si="16"/>
        <v>0</v>
      </c>
      <c r="K273" s="1541">
        <f t="shared" si="17"/>
        <v>646</v>
      </c>
      <c r="L273" s="1541">
        <f t="shared" si="18"/>
        <v>646</v>
      </c>
      <c r="M273" s="1541">
        <f t="shared" si="19"/>
        <v>0</v>
      </c>
    </row>
    <row r="274" spans="1:13" x14ac:dyDescent="0.3">
      <c r="A274" s="1855" t="s">
        <v>2787</v>
      </c>
      <c r="B274" s="1462"/>
      <c r="C274" s="1456">
        <v>1790</v>
      </c>
      <c r="D274" s="1456">
        <v>1790</v>
      </c>
      <c r="E274" s="1462"/>
      <c r="J274" s="1541">
        <f t="shared" si="16"/>
        <v>0</v>
      </c>
      <c r="K274" s="1541">
        <f t="shared" si="17"/>
        <v>1790</v>
      </c>
      <c r="L274" s="1541">
        <f t="shared" si="18"/>
        <v>1790</v>
      </c>
      <c r="M274" s="1541">
        <f t="shared" si="19"/>
        <v>0</v>
      </c>
    </row>
    <row r="275" spans="1:13" x14ac:dyDescent="0.3">
      <c r="A275" s="1852" t="s">
        <v>2788</v>
      </c>
      <c r="B275" s="1462"/>
      <c r="C275" s="1456">
        <v>280</v>
      </c>
      <c r="D275" s="1456">
        <v>280</v>
      </c>
      <c r="E275" s="1462"/>
      <c r="J275" s="1541">
        <f t="shared" si="16"/>
        <v>0</v>
      </c>
      <c r="K275" s="1541">
        <f t="shared" si="17"/>
        <v>280</v>
      </c>
      <c r="L275" s="1541">
        <f t="shared" si="18"/>
        <v>280</v>
      </c>
      <c r="M275" s="1541">
        <f t="shared" si="19"/>
        <v>0</v>
      </c>
    </row>
    <row r="276" spans="1:13" x14ac:dyDescent="0.3">
      <c r="A276" s="1852" t="s">
        <v>2790</v>
      </c>
      <c r="B276" s="1462"/>
      <c r="C276" s="1456">
        <v>5820</v>
      </c>
      <c r="D276" s="1456">
        <v>5820</v>
      </c>
      <c r="E276" s="1462"/>
      <c r="J276" s="1541">
        <f t="shared" si="16"/>
        <v>0</v>
      </c>
      <c r="K276" s="1541">
        <f t="shared" si="17"/>
        <v>5820</v>
      </c>
      <c r="L276" s="1541">
        <f t="shared" si="18"/>
        <v>5820</v>
      </c>
      <c r="M276" s="1541">
        <f t="shared" si="19"/>
        <v>0</v>
      </c>
    </row>
    <row r="277" spans="1:13" x14ac:dyDescent="0.3">
      <c r="A277" s="1855" t="s">
        <v>2791</v>
      </c>
      <c r="B277" s="1462"/>
      <c r="C277" s="1456">
        <v>80600</v>
      </c>
      <c r="D277" s="1456">
        <v>80600</v>
      </c>
      <c r="E277" s="1462"/>
      <c r="J277" s="1541">
        <f t="shared" si="16"/>
        <v>0</v>
      </c>
      <c r="K277" s="1541">
        <f t="shared" si="17"/>
        <v>80600</v>
      </c>
      <c r="L277" s="1541">
        <f t="shared" si="18"/>
        <v>80600</v>
      </c>
      <c r="M277" s="1541">
        <f t="shared" si="19"/>
        <v>0</v>
      </c>
    </row>
    <row r="278" spans="1:13" x14ac:dyDescent="0.3">
      <c r="A278" s="1852" t="s">
        <v>2792</v>
      </c>
      <c r="B278" s="1462"/>
      <c r="C278" s="1456">
        <v>900</v>
      </c>
      <c r="D278" s="1456">
        <v>900</v>
      </c>
      <c r="E278" s="1462"/>
      <c r="J278" s="1541">
        <f t="shared" si="16"/>
        <v>0</v>
      </c>
      <c r="K278" s="1541">
        <f t="shared" si="17"/>
        <v>900</v>
      </c>
      <c r="L278" s="1541">
        <f t="shared" si="18"/>
        <v>900</v>
      </c>
      <c r="M278" s="1541">
        <f t="shared" si="19"/>
        <v>0</v>
      </c>
    </row>
    <row r="279" spans="1:13" x14ac:dyDescent="0.3">
      <c r="A279" s="1852" t="s">
        <v>2793</v>
      </c>
      <c r="B279" s="1462"/>
      <c r="C279" s="1456">
        <v>4522</v>
      </c>
      <c r="D279" s="1456">
        <v>4522</v>
      </c>
      <c r="E279" s="1462"/>
      <c r="J279" s="1541">
        <f t="shared" si="16"/>
        <v>0</v>
      </c>
      <c r="K279" s="1541">
        <f t="shared" si="17"/>
        <v>4522</v>
      </c>
      <c r="L279" s="1541">
        <f t="shared" si="18"/>
        <v>4522</v>
      </c>
      <c r="M279" s="1541">
        <f t="shared" si="19"/>
        <v>0</v>
      </c>
    </row>
    <row r="280" spans="1:13" x14ac:dyDescent="0.3">
      <c r="A280" s="1852" t="s">
        <v>2794</v>
      </c>
      <c r="B280" s="1462"/>
      <c r="C280" s="1456">
        <v>5060</v>
      </c>
      <c r="D280" s="1456">
        <v>5060</v>
      </c>
      <c r="E280" s="1462"/>
      <c r="J280" s="1541">
        <f t="shared" si="16"/>
        <v>0</v>
      </c>
      <c r="K280" s="1541">
        <f t="shared" si="17"/>
        <v>5060</v>
      </c>
      <c r="L280" s="1541">
        <f t="shared" si="18"/>
        <v>5060</v>
      </c>
      <c r="M280" s="1541">
        <f t="shared" si="19"/>
        <v>0</v>
      </c>
    </row>
    <row r="281" spans="1:13" x14ac:dyDescent="0.3">
      <c r="A281" s="1852" t="s">
        <v>2796</v>
      </c>
      <c r="B281" s="1462"/>
      <c r="C281" s="1456">
        <v>4097</v>
      </c>
      <c r="D281" s="1456">
        <v>4097</v>
      </c>
      <c r="E281" s="1462"/>
      <c r="J281" s="1541">
        <f t="shared" si="16"/>
        <v>0</v>
      </c>
      <c r="K281" s="1541">
        <f t="shared" si="17"/>
        <v>4097</v>
      </c>
      <c r="L281" s="1541">
        <f t="shared" si="18"/>
        <v>4097</v>
      </c>
      <c r="M281" s="1541">
        <f t="shared" si="19"/>
        <v>0</v>
      </c>
    </row>
    <row r="282" spans="1:13" x14ac:dyDescent="0.3">
      <c r="A282" s="1852" t="s">
        <v>2797</v>
      </c>
      <c r="B282" s="1462"/>
      <c r="C282" s="1456">
        <v>3838</v>
      </c>
      <c r="D282" s="1456">
        <v>3838</v>
      </c>
      <c r="E282" s="1462"/>
      <c r="J282" s="1541">
        <f t="shared" si="16"/>
        <v>0</v>
      </c>
      <c r="K282" s="1541">
        <f t="shared" si="17"/>
        <v>3838</v>
      </c>
      <c r="L282" s="1541">
        <f t="shared" si="18"/>
        <v>3838</v>
      </c>
      <c r="M282" s="1541">
        <f t="shared" si="19"/>
        <v>0</v>
      </c>
    </row>
    <row r="283" spans="1:13" x14ac:dyDescent="0.3">
      <c r="A283" s="1852" t="s">
        <v>2799</v>
      </c>
      <c r="B283" s="1462"/>
      <c r="C283" s="1456">
        <v>292180</v>
      </c>
      <c r="D283" s="1456">
        <v>292180</v>
      </c>
      <c r="E283" s="1462"/>
      <c r="J283" s="1541">
        <f t="shared" si="16"/>
        <v>0</v>
      </c>
      <c r="K283" s="1541">
        <f t="shared" si="17"/>
        <v>292180</v>
      </c>
      <c r="L283" s="1541">
        <f t="shared" si="18"/>
        <v>292180</v>
      </c>
      <c r="M283" s="1541">
        <f t="shared" si="19"/>
        <v>0</v>
      </c>
    </row>
    <row r="284" spans="1:13" x14ac:dyDescent="0.3">
      <c r="A284" s="1852" t="s">
        <v>2800</v>
      </c>
      <c r="B284" s="1462"/>
      <c r="C284" s="1456">
        <v>33850</v>
      </c>
      <c r="D284" s="1456">
        <v>33850</v>
      </c>
      <c r="E284" s="1462"/>
      <c r="J284" s="1541">
        <f t="shared" si="16"/>
        <v>0</v>
      </c>
      <c r="K284" s="1541">
        <f t="shared" si="17"/>
        <v>33850</v>
      </c>
      <c r="L284" s="1541">
        <f t="shared" si="18"/>
        <v>33850</v>
      </c>
      <c r="M284" s="1541">
        <f t="shared" si="19"/>
        <v>0</v>
      </c>
    </row>
    <row r="285" spans="1:13" x14ac:dyDescent="0.3">
      <c r="A285" s="1852" t="s">
        <v>2801</v>
      </c>
      <c r="B285" s="1462"/>
      <c r="C285" s="1456">
        <v>18148</v>
      </c>
      <c r="D285" s="1456">
        <v>18148</v>
      </c>
      <c r="E285" s="1462"/>
      <c r="J285" s="1541">
        <f t="shared" si="16"/>
        <v>0</v>
      </c>
      <c r="K285" s="1541">
        <f t="shared" si="17"/>
        <v>18148</v>
      </c>
      <c r="L285" s="1541">
        <f t="shared" si="18"/>
        <v>18148</v>
      </c>
      <c r="M285" s="1541">
        <f t="shared" si="19"/>
        <v>0</v>
      </c>
    </row>
    <row r="286" spans="1:13" x14ac:dyDescent="0.3">
      <c r="A286" s="1852" t="s">
        <v>2802</v>
      </c>
      <c r="B286" s="1462"/>
      <c r="C286" s="1456">
        <v>8950</v>
      </c>
      <c r="D286" s="1456">
        <v>8950</v>
      </c>
      <c r="E286" s="1462"/>
      <c r="J286" s="1541">
        <f t="shared" si="16"/>
        <v>0</v>
      </c>
      <c r="K286" s="1541">
        <f t="shared" si="17"/>
        <v>8950</v>
      </c>
      <c r="L286" s="1541">
        <f t="shared" si="18"/>
        <v>8950</v>
      </c>
      <c r="M286" s="1541">
        <f t="shared" si="19"/>
        <v>0</v>
      </c>
    </row>
    <row r="287" spans="1:13" x14ac:dyDescent="0.3">
      <c r="A287" s="1852" t="s">
        <v>2803</v>
      </c>
      <c r="B287" s="1462"/>
      <c r="C287" s="1456">
        <v>306</v>
      </c>
      <c r="D287" s="1456">
        <v>306</v>
      </c>
      <c r="E287" s="1462"/>
      <c r="J287" s="1541">
        <f t="shared" si="16"/>
        <v>0</v>
      </c>
      <c r="K287" s="1541">
        <f t="shared" si="17"/>
        <v>306</v>
      </c>
      <c r="L287" s="1541">
        <f t="shared" si="18"/>
        <v>306</v>
      </c>
      <c r="M287" s="1541">
        <f t="shared" si="19"/>
        <v>0</v>
      </c>
    </row>
    <row r="288" spans="1:13" x14ac:dyDescent="0.3">
      <c r="A288" s="1852" t="s">
        <v>2804</v>
      </c>
      <c r="B288" s="1462"/>
      <c r="C288" s="1456">
        <v>332</v>
      </c>
      <c r="D288" s="1456">
        <v>332</v>
      </c>
      <c r="E288" s="1462"/>
      <c r="J288" s="1541">
        <f t="shared" si="16"/>
        <v>0</v>
      </c>
      <c r="K288" s="1541">
        <f t="shared" si="17"/>
        <v>332</v>
      </c>
      <c r="L288" s="1541">
        <f t="shared" si="18"/>
        <v>332</v>
      </c>
      <c r="M288" s="1541">
        <f t="shared" si="19"/>
        <v>0</v>
      </c>
    </row>
    <row r="289" spans="1:13" x14ac:dyDescent="0.3">
      <c r="A289" s="1852" t="s">
        <v>2805</v>
      </c>
      <c r="B289" s="1462"/>
      <c r="C289" s="1456">
        <v>3636</v>
      </c>
      <c r="D289" s="1456">
        <v>3636</v>
      </c>
      <c r="E289" s="1462"/>
      <c r="J289" s="1541">
        <f t="shared" si="16"/>
        <v>0</v>
      </c>
      <c r="K289" s="1541">
        <f t="shared" si="17"/>
        <v>3636</v>
      </c>
      <c r="L289" s="1541">
        <f t="shared" si="18"/>
        <v>3636</v>
      </c>
      <c r="M289" s="1541">
        <f t="shared" si="19"/>
        <v>0</v>
      </c>
    </row>
    <row r="290" spans="1:13" x14ac:dyDescent="0.3">
      <c r="A290" s="1852" t="s">
        <v>2806</v>
      </c>
      <c r="B290" s="1462"/>
      <c r="C290" s="1456">
        <v>830</v>
      </c>
      <c r="D290" s="1456">
        <v>830</v>
      </c>
      <c r="E290" s="1462"/>
      <c r="J290" s="1541">
        <f t="shared" ref="J290:J353" si="20">B290+F290</f>
        <v>0</v>
      </c>
      <c r="K290" s="1541">
        <f t="shared" ref="K290:K353" si="21">C290+G290</f>
        <v>830</v>
      </c>
      <c r="L290" s="1541">
        <f t="shared" ref="L290:L353" si="22">D290+H290</f>
        <v>830</v>
      </c>
      <c r="M290" s="1541">
        <f t="shared" ref="M290:M353" si="23">E290+I290</f>
        <v>0</v>
      </c>
    </row>
    <row r="291" spans="1:13" x14ac:dyDescent="0.3">
      <c r="A291" s="1852" t="s">
        <v>2808</v>
      </c>
      <c r="B291" s="1462"/>
      <c r="C291" s="1456">
        <v>600</v>
      </c>
      <c r="D291" s="1456">
        <v>600</v>
      </c>
      <c r="E291" s="1462"/>
      <c r="J291" s="1541">
        <f t="shared" si="20"/>
        <v>0</v>
      </c>
      <c r="K291" s="1541">
        <f t="shared" si="21"/>
        <v>600</v>
      </c>
      <c r="L291" s="1541">
        <f t="shared" si="22"/>
        <v>600</v>
      </c>
      <c r="M291" s="1541">
        <f t="shared" si="23"/>
        <v>0</v>
      </c>
    </row>
    <row r="292" spans="1:13" x14ac:dyDescent="0.3">
      <c r="A292" s="1855" t="s">
        <v>2809</v>
      </c>
      <c r="B292" s="1462"/>
      <c r="C292" s="1456">
        <v>79860</v>
      </c>
      <c r="D292" s="1456">
        <v>79860</v>
      </c>
      <c r="E292" s="1462"/>
      <c r="J292" s="1541">
        <f t="shared" si="20"/>
        <v>0</v>
      </c>
      <c r="K292" s="1541">
        <f t="shared" si="21"/>
        <v>79860</v>
      </c>
      <c r="L292" s="1541">
        <f t="shared" si="22"/>
        <v>79860</v>
      </c>
      <c r="M292" s="1541">
        <f t="shared" si="23"/>
        <v>0</v>
      </c>
    </row>
    <row r="293" spans="1:13" x14ac:dyDescent="0.3">
      <c r="A293" s="1852" t="s">
        <v>2810</v>
      </c>
      <c r="B293" s="1462"/>
      <c r="C293" s="1456">
        <v>5480</v>
      </c>
      <c r="D293" s="1456">
        <v>5480</v>
      </c>
      <c r="E293" s="1462"/>
      <c r="J293" s="1541">
        <f t="shared" si="20"/>
        <v>0</v>
      </c>
      <c r="K293" s="1541">
        <f t="shared" si="21"/>
        <v>5480</v>
      </c>
      <c r="L293" s="1541">
        <f t="shared" si="22"/>
        <v>5480</v>
      </c>
      <c r="M293" s="1541">
        <f t="shared" si="23"/>
        <v>0</v>
      </c>
    </row>
    <row r="294" spans="1:13" x14ac:dyDescent="0.3">
      <c r="A294" s="1852" t="s">
        <v>2811</v>
      </c>
      <c r="B294" s="1462"/>
      <c r="C294" s="1456">
        <v>700</v>
      </c>
      <c r="D294" s="1456">
        <v>700</v>
      </c>
      <c r="E294" s="1462"/>
      <c r="J294" s="1541">
        <f t="shared" si="20"/>
        <v>0</v>
      </c>
      <c r="K294" s="1541">
        <f t="shared" si="21"/>
        <v>700</v>
      </c>
      <c r="L294" s="1541">
        <f t="shared" si="22"/>
        <v>700</v>
      </c>
      <c r="M294" s="1541">
        <f t="shared" si="23"/>
        <v>0</v>
      </c>
    </row>
    <row r="295" spans="1:13" x14ac:dyDescent="0.3">
      <c r="A295" s="1852" t="s">
        <v>2812</v>
      </c>
      <c r="B295" s="1462"/>
      <c r="C295" s="1456">
        <v>2720</v>
      </c>
      <c r="D295" s="1456">
        <v>2720</v>
      </c>
      <c r="E295" s="1462"/>
      <c r="J295" s="1541">
        <f t="shared" si="20"/>
        <v>0</v>
      </c>
      <c r="K295" s="1541">
        <f t="shared" si="21"/>
        <v>2720</v>
      </c>
      <c r="L295" s="1541">
        <f t="shared" si="22"/>
        <v>2720</v>
      </c>
      <c r="M295" s="1541">
        <f t="shared" si="23"/>
        <v>0</v>
      </c>
    </row>
    <row r="296" spans="1:13" x14ac:dyDescent="0.3">
      <c r="A296" s="1852" t="s">
        <v>2813</v>
      </c>
      <c r="B296" s="1462"/>
      <c r="C296" s="1456">
        <v>306</v>
      </c>
      <c r="D296" s="1456">
        <v>306</v>
      </c>
      <c r="E296" s="1462"/>
      <c r="J296" s="1541">
        <f t="shared" si="20"/>
        <v>0</v>
      </c>
      <c r="K296" s="1541">
        <f t="shared" si="21"/>
        <v>306</v>
      </c>
      <c r="L296" s="1541">
        <f t="shared" si="22"/>
        <v>306</v>
      </c>
      <c r="M296" s="1541">
        <f t="shared" si="23"/>
        <v>0</v>
      </c>
    </row>
    <row r="297" spans="1:13" x14ac:dyDescent="0.3">
      <c r="A297" s="1852" t="s">
        <v>2814</v>
      </c>
      <c r="B297" s="1462"/>
      <c r="C297" s="1456">
        <v>3880</v>
      </c>
      <c r="D297" s="1456">
        <v>3880</v>
      </c>
      <c r="E297" s="1462"/>
      <c r="J297" s="1541">
        <f t="shared" si="20"/>
        <v>0</v>
      </c>
      <c r="K297" s="1541">
        <f t="shared" si="21"/>
        <v>3880</v>
      </c>
      <c r="L297" s="1541">
        <f t="shared" si="22"/>
        <v>3880</v>
      </c>
      <c r="M297" s="1541">
        <f t="shared" si="23"/>
        <v>0</v>
      </c>
    </row>
    <row r="298" spans="1:13" x14ac:dyDescent="0.3">
      <c r="A298" s="1852" t="s">
        <v>2815</v>
      </c>
      <c r="B298" s="1462"/>
      <c r="C298" s="1456">
        <v>320</v>
      </c>
      <c r="D298" s="1456">
        <v>320</v>
      </c>
      <c r="E298" s="1462"/>
      <c r="J298" s="1541">
        <f t="shared" si="20"/>
        <v>0</v>
      </c>
      <c r="K298" s="1541">
        <f t="shared" si="21"/>
        <v>320</v>
      </c>
      <c r="L298" s="1541">
        <f t="shared" si="22"/>
        <v>320</v>
      </c>
      <c r="M298" s="1541">
        <f t="shared" si="23"/>
        <v>0</v>
      </c>
    </row>
    <row r="299" spans="1:13" x14ac:dyDescent="0.3">
      <c r="A299" s="1852" t="s">
        <v>2816</v>
      </c>
      <c r="B299" s="1462"/>
      <c r="C299" s="1456">
        <v>950</v>
      </c>
      <c r="D299" s="1456">
        <v>950</v>
      </c>
      <c r="E299" s="1462"/>
      <c r="J299" s="1541">
        <f t="shared" si="20"/>
        <v>0</v>
      </c>
      <c r="K299" s="1541">
        <f t="shared" si="21"/>
        <v>950</v>
      </c>
      <c r="L299" s="1541">
        <f t="shared" si="22"/>
        <v>950</v>
      </c>
      <c r="M299" s="1541">
        <f t="shared" si="23"/>
        <v>0</v>
      </c>
    </row>
    <row r="300" spans="1:13" x14ac:dyDescent="0.3">
      <c r="A300" s="1852" t="s">
        <v>2817</v>
      </c>
      <c r="B300" s="1462"/>
      <c r="C300" s="1456">
        <v>1330</v>
      </c>
      <c r="D300" s="1456">
        <v>1330</v>
      </c>
      <c r="E300" s="1462"/>
      <c r="J300" s="1541">
        <f t="shared" si="20"/>
        <v>0</v>
      </c>
      <c r="K300" s="1541">
        <f t="shared" si="21"/>
        <v>1330</v>
      </c>
      <c r="L300" s="1541">
        <f t="shared" si="22"/>
        <v>1330</v>
      </c>
      <c r="M300" s="1541">
        <f t="shared" si="23"/>
        <v>0</v>
      </c>
    </row>
    <row r="301" spans="1:13" x14ac:dyDescent="0.3">
      <c r="A301" s="1852" t="s">
        <v>2818</v>
      </c>
      <c r="B301" s="1462"/>
      <c r="C301" s="1456">
        <v>190</v>
      </c>
      <c r="D301" s="1456">
        <v>190</v>
      </c>
      <c r="E301" s="1462"/>
      <c r="J301" s="1541">
        <f t="shared" si="20"/>
        <v>0</v>
      </c>
      <c r="K301" s="1541">
        <f t="shared" si="21"/>
        <v>190</v>
      </c>
      <c r="L301" s="1541">
        <f t="shared" si="22"/>
        <v>190</v>
      </c>
      <c r="M301" s="1541">
        <f t="shared" si="23"/>
        <v>0</v>
      </c>
    </row>
    <row r="302" spans="1:13" x14ac:dyDescent="0.3">
      <c r="A302" s="1852" t="s">
        <v>2819</v>
      </c>
      <c r="B302" s="1462"/>
      <c r="C302" s="1456">
        <v>200</v>
      </c>
      <c r="D302" s="1456">
        <v>200</v>
      </c>
      <c r="E302" s="1462"/>
      <c r="J302" s="1541">
        <f t="shared" si="20"/>
        <v>0</v>
      </c>
      <c r="K302" s="1541">
        <f t="shared" si="21"/>
        <v>200</v>
      </c>
      <c r="L302" s="1541">
        <f t="shared" si="22"/>
        <v>200</v>
      </c>
      <c r="M302" s="1541">
        <f t="shared" si="23"/>
        <v>0</v>
      </c>
    </row>
    <row r="303" spans="1:13" x14ac:dyDescent="0.3">
      <c r="A303" s="1852" t="s">
        <v>2820</v>
      </c>
      <c r="B303" s="1462"/>
      <c r="C303" s="1456">
        <v>400</v>
      </c>
      <c r="D303" s="1456">
        <v>400</v>
      </c>
      <c r="E303" s="1462"/>
      <c r="J303" s="1541">
        <f t="shared" si="20"/>
        <v>0</v>
      </c>
      <c r="K303" s="1541">
        <f t="shared" si="21"/>
        <v>400</v>
      </c>
      <c r="L303" s="1541">
        <f t="shared" si="22"/>
        <v>400</v>
      </c>
      <c r="M303" s="1541">
        <f t="shared" si="23"/>
        <v>0</v>
      </c>
    </row>
    <row r="304" spans="1:13" x14ac:dyDescent="0.3">
      <c r="A304" s="1855" t="s">
        <v>2822</v>
      </c>
      <c r="B304" s="1462"/>
      <c r="C304" s="1456">
        <v>1744</v>
      </c>
      <c r="D304" s="1456">
        <v>1744</v>
      </c>
      <c r="E304" s="1462"/>
      <c r="J304" s="1541">
        <f t="shared" si="20"/>
        <v>0</v>
      </c>
      <c r="K304" s="1541">
        <f t="shared" si="21"/>
        <v>1744</v>
      </c>
      <c r="L304" s="1541">
        <f t="shared" si="22"/>
        <v>1744</v>
      </c>
      <c r="M304" s="1541">
        <f t="shared" si="23"/>
        <v>0</v>
      </c>
    </row>
    <row r="305" spans="1:13" x14ac:dyDescent="0.3">
      <c r="A305" s="1852" t="s">
        <v>2823</v>
      </c>
      <c r="B305" s="1462"/>
      <c r="C305" s="1456">
        <v>2816</v>
      </c>
      <c r="D305" s="1456">
        <v>2816</v>
      </c>
      <c r="E305" s="1462"/>
      <c r="J305" s="1541">
        <f t="shared" si="20"/>
        <v>0</v>
      </c>
      <c r="K305" s="1541">
        <f t="shared" si="21"/>
        <v>2816</v>
      </c>
      <c r="L305" s="1541">
        <f t="shared" si="22"/>
        <v>2816</v>
      </c>
      <c r="M305" s="1541">
        <f t="shared" si="23"/>
        <v>0</v>
      </c>
    </row>
    <row r="306" spans="1:13" x14ac:dyDescent="0.3">
      <c r="A306" s="1852" t="s">
        <v>2824</v>
      </c>
      <c r="B306" s="1462"/>
      <c r="C306" s="1456">
        <v>5680</v>
      </c>
      <c r="D306" s="1456">
        <v>5680</v>
      </c>
      <c r="E306" s="1462"/>
      <c r="J306" s="1541">
        <f t="shared" si="20"/>
        <v>0</v>
      </c>
      <c r="K306" s="1541">
        <f t="shared" si="21"/>
        <v>5680</v>
      </c>
      <c r="L306" s="1541">
        <f t="shared" si="22"/>
        <v>5680</v>
      </c>
      <c r="M306" s="1541">
        <f t="shared" si="23"/>
        <v>0</v>
      </c>
    </row>
    <row r="307" spans="1:13" x14ac:dyDescent="0.3">
      <c r="A307" s="1855" t="s">
        <v>2825</v>
      </c>
      <c r="B307" s="1462"/>
      <c r="C307" s="1456">
        <v>13260</v>
      </c>
      <c r="D307" s="1456">
        <v>13260</v>
      </c>
      <c r="E307" s="1462"/>
      <c r="J307" s="1541">
        <f t="shared" si="20"/>
        <v>0</v>
      </c>
      <c r="K307" s="1541">
        <f t="shared" si="21"/>
        <v>13260</v>
      </c>
      <c r="L307" s="1541">
        <f t="shared" si="22"/>
        <v>13260</v>
      </c>
      <c r="M307" s="1541">
        <f t="shared" si="23"/>
        <v>0</v>
      </c>
    </row>
    <row r="308" spans="1:13" x14ac:dyDescent="0.3">
      <c r="A308" s="1852" t="s">
        <v>2826</v>
      </c>
      <c r="B308" s="1462"/>
      <c r="C308" s="1456">
        <v>39175</v>
      </c>
      <c r="D308" s="1456">
        <v>39175</v>
      </c>
      <c r="E308" s="1462"/>
      <c r="J308" s="1541">
        <f t="shared" si="20"/>
        <v>0</v>
      </c>
      <c r="K308" s="1541">
        <f t="shared" si="21"/>
        <v>39175</v>
      </c>
      <c r="L308" s="1541">
        <f t="shared" si="22"/>
        <v>39175</v>
      </c>
      <c r="M308" s="1541">
        <f t="shared" si="23"/>
        <v>0</v>
      </c>
    </row>
    <row r="309" spans="1:13" x14ac:dyDescent="0.3">
      <c r="A309" s="1855" t="s">
        <v>2828</v>
      </c>
      <c r="B309" s="1462"/>
      <c r="C309" s="1456">
        <v>101057</v>
      </c>
      <c r="D309" s="1456">
        <v>101057</v>
      </c>
      <c r="E309" s="1462"/>
      <c r="J309" s="1541">
        <f t="shared" si="20"/>
        <v>0</v>
      </c>
      <c r="K309" s="1541">
        <f t="shared" si="21"/>
        <v>101057</v>
      </c>
      <c r="L309" s="1541">
        <f t="shared" si="22"/>
        <v>101057</v>
      </c>
      <c r="M309" s="1541">
        <f t="shared" si="23"/>
        <v>0</v>
      </c>
    </row>
    <row r="310" spans="1:13" x14ac:dyDescent="0.3">
      <c r="A310" s="1852" t="s">
        <v>2829</v>
      </c>
      <c r="B310" s="1462"/>
      <c r="C310" s="1456">
        <v>600</v>
      </c>
      <c r="D310" s="1456">
        <v>600</v>
      </c>
      <c r="E310" s="1462"/>
      <c r="J310" s="1541">
        <f t="shared" si="20"/>
        <v>0</v>
      </c>
      <c r="K310" s="1541">
        <f t="shared" si="21"/>
        <v>600</v>
      </c>
      <c r="L310" s="1541">
        <f t="shared" si="22"/>
        <v>600</v>
      </c>
      <c r="M310" s="1541">
        <f t="shared" si="23"/>
        <v>0</v>
      </c>
    </row>
    <row r="311" spans="1:13" x14ac:dyDescent="0.3">
      <c r="A311" s="1852" t="s">
        <v>2831</v>
      </c>
      <c r="B311" s="1462"/>
      <c r="C311" s="1456">
        <v>1362</v>
      </c>
      <c r="D311" s="1456">
        <v>1362</v>
      </c>
      <c r="E311" s="1462"/>
      <c r="J311" s="1541">
        <f t="shared" si="20"/>
        <v>0</v>
      </c>
      <c r="K311" s="1541">
        <f t="shared" si="21"/>
        <v>1362</v>
      </c>
      <c r="L311" s="1541">
        <f t="shared" si="22"/>
        <v>1362</v>
      </c>
      <c r="M311" s="1541">
        <f t="shared" si="23"/>
        <v>0</v>
      </c>
    </row>
    <row r="312" spans="1:13" x14ac:dyDescent="0.3">
      <c r="A312" s="1852" t="s">
        <v>2832</v>
      </c>
      <c r="B312" s="1462"/>
      <c r="C312" s="1456">
        <v>520</v>
      </c>
      <c r="D312" s="1456">
        <v>520</v>
      </c>
      <c r="E312" s="1462"/>
      <c r="J312" s="1541">
        <f t="shared" si="20"/>
        <v>0</v>
      </c>
      <c r="K312" s="1541">
        <f t="shared" si="21"/>
        <v>520</v>
      </c>
      <c r="L312" s="1541">
        <f t="shared" si="22"/>
        <v>520</v>
      </c>
      <c r="M312" s="1541">
        <f t="shared" si="23"/>
        <v>0</v>
      </c>
    </row>
    <row r="313" spans="1:13" x14ac:dyDescent="0.3">
      <c r="A313" s="1852" t="s">
        <v>2833</v>
      </c>
      <c r="B313" s="1462"/>
      <c r="C313" s="1456">
        <v>12524</v>
      </c>
      <c r="D313" s="1456">
        <v>12524</v>
      </c>
      <c r="E313" s="1462"/>
      <c r="J313" s="1541">
        <f t="shared" si="20"/>
        <v>0</v>
      </c>
      <c r="K313" s="1541">
        <f t="shared" si="21"/>
        <v>12524</v>
      </c>
      <c r="L313" s="1541">
        <f t="shared" si="22"/>
        <v>12524</v>
      </c>
      <c r="M313" s="1541">
        <f t="shared" si="23"/>
        <v>0</v>
      </c>
    </row>
    <row r="314" spans="1:13" x14ac:dyDescent="0.3">
      <c r="A314" s="1852" t="s">
        <v>2834</v>
      </c>
      <c r="B314" s="1462"/>
      <c r="C314" s="1456">
        <v>2760</v>
      </c>
      <c r="D314" s="1456">
        <v>2760</v>
      </c>
      <c r="E314" s="1462"/>
      <c r="J314" s="1541">
        <f t="shared" si="20"/>
        <v>0</v>
      </c>
      <c r="K314" s="1541">
        <f t="shared" si="21"/>
        <v>2760</v>
      </c>
      <c r="L314" s="1541">
        <f t="shared" si="22"/>
        <v>2760</v>
      </c>
      <c r="M314" s="1541">
        <f t="shared" si="23"/>
        <v>0</v>
      </c>
    </row>
    <row r="315" spans="1:13" x14ac:dyDescent="0.3">
      <c r="A315" s="1855" t="s">
        <v>2835</v>
      </c>
      <c r="B315" s="1462"/>
      <c r="C315" s="1456">
        <v>80750</v>
      </c>
      <c r="D315" s="1456">
        <v>80750</v>
      </c>
      <c r="E315" s="1462"/>
      <c r="J315" s="1541">
        <f t="shared" si="20"/>
        <v>0</v>
      </c>
      <c r="K315" s="1541">
        <f t="shared" si="21"/>
        <v>80750</v>
      </c>
      <c r="L315" s="1541">
        <f t="shared" si="22"/>
        <v>80750</v>
      </c>
      <c r="M315" s="1541">
        <f t="shared" si="23"/>
        <v>0</v>
      </c>
    </row>
    <row r="316" spans="1:13" x14ac:dyDescent="0.3">
      <c r="A316" s="1852" t="s">
        <v>2836</v>
      </c>
      <c r="B316" s="1462"/>
      <c r="C316" s="1456">
        <v>520</v>
      </c>
      <c r="D316" s="1456">
        <v>520</v>
      </c>
      <c r="E316" s="1462"/>
      <c r="J316" s="1541">
        <f t="shared" si="20"/>
        <v>0</v>
      </c>
      <c r="K316" s="1541">
        <f t="shared" si="21"/>
        <v>520</v>
      </c>
      <c r="L316" s="1541">
        <f t="shared" si="22"/>
        <v>520</v>
      </c>
      <c r="M316" s="1541">
        <f t="shared" si="23"/>
        <v>0</v>
      </c>
    </row>
    <row r="317" spans="1:13" x14ac:dyDescent="0.3">
      <c r="A317" s="1852" t="s">
        <v>2837</v>
      </c>
      <c r="B317" s="1462"/>
      <c r="C317" s="1456">
        <v>1370</v>
      </c>
      <c r="D317" s="1456">
        <v>1370</v>
      </c>
      <c r="E317" s="1462"/>
      <c r="J317" s="1541">
        <f t="shared" si="20"/>
        <v>0</v>
      </c>
      <c r="K317" s="1541">
        <f t="shared" si="21"/>
        <v>1370</v>
      </c>
      <c r="L317" s="1541">
        <f t="shared" si="22"/>
        <v>1370</v>
      </c>
      <c r="M317" s="1541">
        <f t="shared" si="23"/>
        <v>0</v>
      </c>
    </row>
    <row r="318" spans="1:13" x14ac:dyDescent="0.3">
      <c r="A318" s="1852" t="s">
        <v>2838</v>
      </c>
      <c r="B318" s="1462"/>
      <c r="C318" s="1456">
        <v>804</v>
      </c>
      <c r="D318" s="1456">
        <v>804</v>
      </c>
      <c r="E318" s="1462"/>
      <c r="J318" s="1541">
        <f t="shared" si="20"/>
        <v>0</v>
      </c>
      <c r="K318" s="1541">
        <f t="shared" si="21"/>
        <v>804</v>
      </c>
      <c r="L318" s="1541">
        <f t="shared" si="22"/>
        <v>804</v>
      </c>
      <c r="M318" s="1541">
        <f t="shared" si="23"/>
        <v>0</v>
      </c>
    </row>
    <row r="319" spans="1:13" x14ac:dyDescent="0.3">
      <c r="A319" s="1852" t="s">
        <v>2839</v>
      </c>
      <c r="B319" s="1462"/>
      <c r="C319" s="1456">
        <v>380</v>
      </c>
      <c r="D319" s="1456">
        <v>380</v>
      </c>
      <c r="E319" s="1462"/>
      <c r="J319" s="1541">
        <f t="shared" si="20"/>
        <v>0</v>
      </c>
      <c r="K319" s="1541">
        <f t="shared" si="21"/>
        <v>380</v>
      </c>
      <c r="L319" s="1541">
        <f t="shared" si="22"/>
        <v>380</v>
      </c>
      <c r="M319" s="1541">
        <f t="shared" si="23"/>
        <v>0</v>
      </c>
    </row>
    <row r="320" spans="1:13" x14ac:dyDescent="0.3">
      <c r="A320" s="1852" t="s">
        <v>2841</v>
      </c>
      <c r="B320" s="1462"/>
      <c r="C320" s="1456">
        <v>140</v>
      </c>
      <c r="D320" s="1456">
        <v>140</v>
      </c>
      <c r="E320" s="1462"/>
      <c r="J320" s="1541">
        <f t="shared" si="20"/>
        <v>0</v>
      </c>
      <c r="K320" s="1541">
        <f t="shared" si="21"/>
        <v>140</v>
      </c>
      <c r="L320" s="1541">
        <f t="shared" si="22"/>
        <v>140</v>
      </c>
      <c r="M320" s="1541">
        <f t="shared" si="23"/>
        <v>0</v>
      </c>
    </row>
    <row r="321" spans="1:13" x14ac:dyDescent="0.3">
      <c r="A321" s="1852" t="s">
        <v>2842</v>
      </c>
      <c r="B321" s="1462"/>
      <c r="C321" s="1456">
        <v>13010</v>
      </c>
      <c r="D321" s="1456">
        <v>13010</v>
      </c>
      <c r="E321" s="1462"/>
      <c r="J321" s="1541">
        <f t="shared" si="20"/>
        <v>0</v>
      </c>
      <c r="K321" s="1541">
        <f t="shared" si="21"/>
        <v>13010</v>
      </c>
      <c r="L321" s="1541">
        <f t="shared" si="22"/>
        <v>13010</v>
      </c>
      <c r="M321" s="1541">
        <f t="shared" si="23"/>
        <v>0</v>
      </c>
    </row>
    <row r="322" spans="1:13" x14ac:dyDescent="0.3">
      <c r="A322" s="1852" t="s">
        <v>2843</v>
      </c>
      <c r="B322" s="1462"/>
      <c r="C322" s="1456">
        <v>58520</v>
      </c>
      <c r="D322" s="1456">
        <v>58520</v>
      </c>
      <c r="E322" s="1462"/>
      <c r="J322" s="1541">
        <f t="shared" si="20"/>
        <v>0</v>
      </c>
      <c r="K322" s="1541">
        <f t="shared" si="21"/>
        <v>58520</v>
      </c>
      <c r="L322" s="1541">
        <f t="shared" si="22"/>
        <v>58520</v>
      </c>
      <c r="M322" s="1541">
        <f t="shared" si="23"/>
        <v>0</v>
      </c>
    </row>
    <row r="323" spans="1:13" x14ac:dyDescent="0.3">
      <c r="A323" s="1852" t="s">
        <v>2844</v>
      </c>
      <c r="B323" s="1462"/>
      <c r="C323" s="1456">
        <v>23738</v>
      </c>
      <c r="D323" s="1456">
        <v>23738</v>
      </c>
      <c r="E323" s="1462"/>
      <c r="J323" s="1541">
        <f t="shared" si="20"/>
        <v>0</v>
      </c>
      <c r="K323" s="1541">
        <f t="shared" si="21"/>
        <v>23738</v>
      </c>
      <c r="L323" s="1541">
        <f t="shared" si="22"/>
        <v>23738</v>
      </c>
      <c r="M323" s="1541">
        <f t="shared" si="23"/>
        <v>0</v>
      </c>
    </row>
    <row r="324" spans="1:13" x14ac:dyDescent="0.3">
      <c r="A324" s="1852" t="s">
        <v>2845</v>
      </c>
      <c r="B324" s="1462"/>
      <c r="C324" s="1456">
        <v>1080</v>
      </c>
      <c r="D324" s="1456">
        <v>1080</v>
      </c>
      <c r="E324" s="1462"/>
      <c r="J324" s="1541">
        <f t="shared" si="20"/>
        <v>0</v>
      </c>
      <c r="K324" s="1541">
        <f t="shared" si="21"/>
        <v>1080</v>
      </c>
      <c r="L324" s="1541">
        <f t="shared" si="22"/>
        <v>1080</v>
      </c>
      <c r="M324" s="1541">
        <f t="shared" si="23"/>
        <v>0</v>
      </c>
    </row>
    <row r="325" spans="1:13" x14ac:dyDescent="0.3">
      <c r="A325" s="1852" t="s">
        <v>2846</v>
      </c>
      <c r="B325" s="1462"/>
      <c r="C325" s="1456">
        <v>140</v>
      </c>
      <c r="D325" s="1456">
        <v>140</v>
      </c>
      <c r="E325" s="1462"/>
      <c r="J325" s="1541">
        <f t="shared" si="20"/>
        <v>0</v>
      </c>
      <c r="K325" s="1541">
        <f t="shared" si="21"/>
        <v>140</v>
      </c>
      <c r="L325" s="1541">
        <f t="shared" si="22"/>
        <v>140</v>
      </c>
      <c r="M325" s="1541">
        <f t="shared" si="23"/>
        <v>0</v>
      </c>
    </row>
    <row r="326" spans="1:13" x14ac:dyDescent="0.3">
      <c r="A326" s="1855" t="s">
        <v>2847</v>
      </c>
      <c r="B326" s="1462"/>
      <c r="C326" s="1456">
        <v>27520</v>
      </c>
      <c r="D326" s="1456">
        <v>27520</v>
      </c>
      <c r="E326" s="1462"/>
      <c r="J326" s="1541">
        <f t="shared" si="20"/>
        <v>0</v>
      </c>
      <c r="K326" s="1541">
        <f t="shared" si="21"/>
        <v>27520</v>
      </c>
      <c r="L326" s="1541">
        <f t="shared" si="22"/>
        <v>27520</v>
      </c>
      <c r="M326" s="1541">
        <f t="shared" si="23"/>
        <v>0</v>
      </c>
    </row>
    <row r="327" spans="1:13" x14ac:dyDescent="0.3">
      <c r="A327" s="1855" t="s">
        <v>2848</v>
      </c>
      <c r="B327" s="1462"/>
      <c r="C327" s="1456">
        <v>1792</v>
      </c>
      <c r="D327" s="1456">
        <v>1792</v>
      </c>
      <c r="E327" s="1462"/>
      <c r="J327" s="1541">
        <f t="shared" si="20"/>
        <v>0</v>
      </c>
      <c r="K327" s="1541">
        <f t="shared" si="21"/>
        <v>1792</v>
      </c>
      <c r="L327" s="1541">
        <f t="shared" si="22"/>
        <v>1792</v>
      </c>
      <c r="M327" s="1541">
        <f t="shared" si="23"/>
        <v>0</v>
      </c>
    </row>
    <row r="328" spans="1:13" x14ac:dyDescent="0.3">
      <c r="A328" s="1852" t="s">
        <v>2849</v>
      </c>
      <c r="B328" s="1462"/>
      <c r="C328" s="1456">
        <v>1090</v>
      </c>
      <c r="D328" s="1456">
        <v>1090</v>
      </c>
      <c r="E328" s="1462"/>
      <c r="J328" s="1541">
        <f t="shared" si="20"/>
        <v>0</v>
      </c>
      <c r="K328" s="1541">
        <f t="shared" si="21"/>
        <v>1090</v>
      </c>
      <c r="L328" s="1541">
        <f t="shared" si="22"/>
        <v>1090</v>
      </c>
      <c r="M328" s="1541">
        <f t="shared" si="23"/>
        <v>0</v>
      </c>
    </row>
    <row r="329" spans="1:13" x14ac:dyDescent="0.3">
      <c r="A329" s="1855" t="s">
        <v>2850</v>
      </c>
      <c r="B329" s="1462"/>
      <c r="C329" s="1456">
        <v>200</v>
      </c>
      <c r="D329" s="1456">
        <v>200</v>
      </c>
      <c r="E329" s="1462"/>
      <c r="J329" s="1541">
        <f t="shared" si="20"/>
        <v>0</v>
      </c>
      <c r="K329" s="1541">
        <f t="shared" si="21"/>
        <v>200</v>
      </c>
      <c r="L329" s="1541">
        <f t="shared" si="22"/>
        <v>200</v>
      </c>
      <c r="M329" s="1541">
        <f t="shared" si="23"/>
        <v>0</v>
      </c>
    </row>
    <row r="330" spans="1:13" x14ac:dyDescent="0.3">
      <c r="A330" s="1855" t="s">
        <v>2852</v>
      </c>
      <c r="B330" s="1462"/>
      <c r="C330" s="1456">
        <v>20437</v>
      </c>
      <c r="D330" s="1456">
        <v>20437</v>
      </c>
      <c r="E330" s="1462"/>
      <c r="J330" s="1541">
        <f t="shared" si="20"/>
        <v>0</v>
      </c>
      <c r="K330" s="1541">
        <f t="shared" si="21"/>
        <v>20437</v>
      </c>
      <c r="L330" s="1541">
        <f t="shared" si="22"/>
        <v>20437</v>
      </c>
      <c r="M330" s="1541">
        <f t="shared" si="23"/>
        <v>0</v>
      </c>
    </row>
    <row r="331" spans="1:13" x14ac:dyDescent="0.3">
      <c r="A331" s="1855" t="s">
        <v>2853</v>
      </c>
      <c r="B331" s="1462"/>
      <c r="C331" s="1456">
        <v>4590</v>
      </c>
      <c r="D331" s="1456">
        <v>4590</v>
      </c>
      <c r="E331" s="1462"/>
      <c r="J331" s="1541">
        <f t="shared" si="20"/>
        <v>0</v>
      </c>
      <c r="K331" s="1541">
        <f t="shared" si="21"/>
        <v>4590</v>
      </c>
      <c r="L331" s="1541">
        <f t="shared" si="22"/>
        <v>4590</v>
      </c>
      <c r="M331" s="1541">
        <f t="shared" si="23"/>
        <v>0</v>
      </c>
    </row>
    <row r="332" spans="1:13" x14ac:dyDescent="0.3">
      <c r="A332" s="1852" t="s">
        <v>2854</v>
      </c>
      <c r="B332" s="1462"/>
      <c r="C332" s="1456">
        <v>4472</v>
      </c>
      <c r="D332" s="1456">
        <v>4472</v>
      </c>
      <c r="E332" s="1462"/>
      <c r="J332" s="1541">
        <f t="shared" si="20"/>
        <v>0</v>
      </c>
      <c r="K332" s="1541">
        <f t="shared" si="21"/>
        <v>4472</v>
      </c>
      <c r="L332" s="1541">
        <f t="shared" si="22"/>
        <v>4472</v>
      </c>
      <c r="M332" s="1541">
        <f t="shared" si="23"/>
        <v>0</v>
      </c>
    </row>
    <row r="333" spans="1:13" x14ac:dyDescent="0.3">
      <c r="A333" s="1852" t="s">
        <v>2855</v>
      </c>
      <c r="B333" s="1462"/>
      <c r="C333" s="1456">
        <v>900</v>
      </c>
      <c r="D333" s="1456">
        <v>900</v>
      </c>
      <c r="E333" s="1462"/>
      <c r="J333" s="1541">
        <f t="shared" si="20"/>
        <v>0</v>
      </c>
      <c r="K333" s="1541">
        <f t="shared" si="21"/>
        <v>900</v>
      </c>
      <c r="L333" s="1541">
        <f t="shared" si="22"/>
        <v>900</v>
      </c>
      <c r="M333" s="1541">
        <f t="shared" si="23"/>
        <v>0</v>
      </c>
    </row>
    <row r="334" spans="1:13" x14ac:dyDescent="0.3">
      <c r="A334" s="1852" t="s">
        <v>2856</v>
      </c>
      <c r="B334" s="1462"/>
      <c r="C334" s="1456">
        <v>140</v>
      </c>
      <c r="D334" s="1456">
        <v>140</v>
      </c>
      <c r="E334" s="1462"/>
      <c r="J334" s="1541">
        <f t="shared" si="20"/>
        <v>0</v>
      </c>
      <c r="K334" s="1541">
        <f t="shared" si="21"/>
        <v>140</v>
      </c>
      <c r="L334" s="1541">
        <f t="shared" si="22"/>
        <v>140</v>
      </c>
      <c r="M334" s="1541">
        <f t="shared" si="23"/>
        <v>0</v>
      </c>
    </row>
    <row r="335" spans="1:13" x14ac:dyDescent="0.3">
      <c r="A335" s="1852" t="s">
        <v>2857</v>
      </c>
      <c r="B335" s="1462"/>
      <c r="C335" s="1456">
        <v>3692</v>
      </c>
      <c r="D335" s="1456">
        <v>3692</v>
      </c>
      <c r="E335" s="1462"/>
      <c r="J335" s="1541">
        <f t="shared" si="20"/>
        <v>0</v>
      </c>
      <c r="K335" s="1541">
        <f t="shared" si="21"/>
        <v>3692</v>
      </c>
      <c r="L335" s="1541">
        <f t="shared" si="22"/>
        <v>3692</v>
      </c>
      <c r="M335" s="1541">
        <f t="shared" si="23"/>
        <v>0</v>
      </c>
    </row>
    <row r="336" spans="1:13" x14ac:dyDescent="0.3">
      <c r="A336" s="1852" t="s">
        <v>2858</v>
      </c>
      <c r="B336" s="1462"/>
      <c r="C336" s="1456">
        <v>2800</v>
      </c>
      <c r="D336" s="1456">
        <v>2800</v>
      </c>
      <c r="E336" s="1462"/>
      <c r="J336" s="1541">
        <f t="shared" si="20"/>
        <v>0</v>
      </c>
      <c r="K336" s="1541">
        <f t="shared" si="21"/>
        <v>2800</v>
      </c>
      <c r="L336" s="1541">
        <f t="shared" si="22"/>
        <v>2800</v>
      </c>
      <c r="M336" s="1541">
        <f t="shared" si="23"/>
        <v>0</v>
      </c>
    </row>
    <row r="337" spans="1:13" x14ac:dyDescent="0.3">
      <c r="A337" s="1852" t="s">
        <v>2859</v>
      </c>
      <c r="B337" s="1462"/>
      <c r="C337" s="1456">
        <v>140</v>
      </c>
      <c r="D337" s="1456">
        <v>140</v>
      </c>
      <c r="E337" s="1462"/>
      <c r="J337" s="1541">
        <f t="shared" si="20"/>
        <v>0</v>
      </c>
      <c r="K337" s="1541">
        <f t="shared" si="21"/>
        <v>140</v>
      </c>
      <c r="L337" s="1541">
        <f t="shared" si="22"/>
        <v>140</v>
      </c>
      <c r="M337" s="1541">
        <f t="shared" si="23"/>
        <v>0</v>
      </c>
    </row>
    <row r="338" spans="1:13" x14ac:dyDescent="0.3">
      <c r="A338" s="1852" t="s">
        <v>2860</v>
      </c>
      <c r="B338" s="1462"/>
      <c r="C338" s="1456">
        <v>20846</v>
      </c>
      <c r="D338" s="1456">
        <v>20846</v>
      </c>
      <c r="E338" s="1462"/>
      <c r="J338" s="1541">
        <f t="shared" si="20"/>
        <v>0</v>
      </c>
      <c r="K338" s="1541">
        <f t="shared" si="21"/>
        <v>20846</v>
      </c>
      <c r="L338" s="1541">
        <f t="shared" si="22"/>
        <v>20846</v>
      </c>
      <c r="M338" s="1541">
        <f t="shared" si="23"/>
        <v>0</v>
      </c>
    </row>
    <row r="339" spans="1:13" x14ac:dyDescent="0.3">
      <c r="A339" s="1855" t="s">
        <v>2861</v>
      </c>
      <c r="B339" s="1462"/>
      <c r="C339" s="1456">
        <v>610</v>
      </c>
      <c r="D339" s="1456">
        <v>610</v>
      </c>
      <c r="E339" s="1462"/>
      <c r="J339" s="1541">
        <f t="shared" si="20"/>
        <v>0</v>
      </c>
      <c r="K339" s="1541">
        <f t="shared" si="21"/>
        <v>610</v>
      </c>
      <c r="L339" s="1541">
        <f t="shared" si="22"/>
        <v>610</v>
      </c>
      <c r="M339" s="1541">
        <f t="shared" si="23"/>
        <v>0</v>
      </c>
    </row>
    <row r="340" spans="1:13" x14ac:dyDescent="0.3">
      <c r="A340" s="1855" t="s">
        <v>2862</v>
      </c>
      <c r="B340" s="1462"/>
      <c r="C340" s="1456">
        <v>1130</v>
      </c>
      <c r="D340" s="1456">
        <v>1130</v>
      </c>
      <c r="E340" s="1462"/>
      <c r="J340" s="1541">
        <f t="shared" si="20"/>
        <v>0</v>
      </c>
      <c r="K340" s="1541">
        <f t="shared" si="21"/>
        <v>1130</v>
      </c>
      <c r="L340" s="1541">
        <f t="shared" si="22"/>
        <v>1130</v>
      </c>
      <c r="M340" s="1541">
        <f t="shared" si="23"/>
        <v>0</v>
      </c>
    </row>
    <row r="341" spans="1:13" x14ac:dyDescent="0.3">
      <c r="A341" s="1852" t="s">
        <v>2863</v>
      </c>
      <c r="B341" s="1462"/>
      <c r="C341" s="1456">
        <v>6746</v>
      </c>
      <c r="D341" s="1456">
        <v>6746</v>
      </c>
      <c r="E341" s="1462"/>
      <c r="J341" s="1541">
        <f t="shared" si="20"/>
        <v>0</v>
      </c>
      <c r="K341" s="1541">
        <f t="shared" si="21"/>
        <v>6746</v>
      </c>
      <c r="L341" s="1541">
        <f t="shared" si="22"/>
        <v>6746</v>
      </c>
      <c r="M341" s="1541">
        <f t="shared" si="23"/>
        <v>0</v>
      </c>
    </row>
    <row r="342" spans="1:13" x14ac:dyDescent="0.3">
      <c r="A342" s="1852" t="s">
        <v>2864</v>
      </c>
      <c r="B342" s="1462"/>
      <c r="C342" s="1456">
        <v>1736</v>
      </c>
      <c r="D342" s="1456">
        <v>1736</v>
      </c>
      <c r="E342" s="1462"/>
      <c r="J342" s="1541">
        <f t="shared" si="20"/>
        <v>0</v>
      </c>
      <c r="K342" s="1541">
        <f t="shared" si="21"/>
        <v>1736</v>
      </c>
      <c r="L342" s="1541">
        <f t="shared" si="22"/>
        <v>1736</v>
      </c>
      <c r="M342" s="1541">
        <f t="shared" si="23"/>
        <v>0</v>
      </c>
    </row>
    <row r="343" spans="1:13" x14ac:dyDescent="0.3">
      <c r="A343" s="1852" t="s">
        <v>2866</v>
      </c>
      <c r="B343" s="1462"/>
      <c r="C343" s="1456">
        <v>200</v>
      </c>
      <c r="D343" s="1456">
        <v>200</v>
      </c>
      <c r="E343" s="1462"/>
      <c r="J343" s="1541">
        <f t="shared" si="20"/>
        <v>0</v>
      </c>
      <c r="K343" s="1541">
        <f t="shared" si="21"/>
        <v>200</v>
      </c>
      <c r="L343" s="1541">
        <f t="shared" si="22"/>
        <v>200</v>
      </c>
      <c r="M343" s="1541">
        <f t="shared" si="23"/>
        <v>0</v>
      </c>
    </row>
    <row r="344" spans="1:13" x14ac:dyDescent="0.3">
      <c r="A344" s="1852" t="s">
        <v>2867</v>
      </c>
      <c r="B344" s="1462"/>
      <c r="C344" s="1456">
        <v>3180</v>
      </c>
      <c r="D344" s="1456">
        <v>3180</v>
      </c>
      <c r="E344" s="1462"/>
      <c r="J344" s="1541">
        <f t="shared" si="20"/>
        <v>0</v>
      </c>
      <c r="K344" s="1541">
        <f t="shared" si="21"/>
        <v>3180</v>
      </c>
      <c r="L344" s="1541">
        <f t="shared" si="22"/>
        <v>3180</v>
      </c>
      <c r="M344" s="1541">
        <f t="shared" si="23"/>
        <v>0</v>
      </c>
    </row>
    <row r="345" spans="1:13" x14ac:dyDescent="0.3">
      <c r="A345" s="1852" t="s">
        <v>2868</v>
      </c>
      <c r="B345" s="1462"/>
      <c r="C345" s="1456">
        <v>1140</v>
      </c>
      <c r="D345" s="1456">
        <v>1140</v>
      </c>
      <c r="E345" s="1462"/>
      <c r="J345" s="1541">
        <f t="shared" si="20"/>
        <v>0</v>
      </c>
      <c r="K345" s="1541">
        <f t="shared" si="21"/>
        <v>1140</v>
      </c>
      <c r="L345" s="1541">
        <f t="shared" si="22"/>
        <v>1140</v>
      </c>
      <c r="M345" s="1541">
        <f t="shared" si="23"/>
        <v>0</v>
      </c>
    </row>
    <row r="346" spans="1:13" x14ac:dyDescent="0.3">
      <c r="A346" s="1852" t="s">
        <v>2869</v>
      </c>
      <c r="B346" s="1462"/>
      <c r="C346" s="1456">
        <v>280</v>
      </c>
      <c r="D346" s="1456">
        <v>280</v>
      </c>
      <c r="E346" s="1462"/>
      <c r="J346" s="1541">
        <f t="shared" si="20"/>
        <v>0</v>
      </c>
      <c r="K346" s="1541">
        <f t="shared" si="21"/>
        <v>280</v>
      </c>
      <c r="L346" s="1541">
        <f t="shared" si="22"/>
        <v>280</v>
      </c>
      <c r="M346" s="1541">
        <f t="shared" si="23"/>
        <v>0</v>
      </c>
    </row>
    <row r="347" spans="1:13" x14ac:dyDescent="0.3">
      <c r="A347" s="1852" t="s">
        <v>2870</v>
      </c>
      <c r="B347" s="1462"/>
      <c r="C347" s="1456">
        <v>2422</v>
      </c>
      <c r="D347" s="1456">
        <v>2422</v>
      </c>
      <c r="E347" s="1462"/>
      <c r="J347" s="1541">
        <f t="shared" si="20"/>
        <v>0</v>
      </c>
      <c r="K347" s="1541">
        <f t="shared" si="21"/>
        <v>2422</v>
      </c>
      <c r="L347" s="1541">
        <f t="shared" si="22"/>
        <v>2422</v>
      </c>
      <c r="M347" s="1541">
        <f t="shared" si="23"/>
        <v>0</v>
      </c>
    </row>
    <row r="348" spans="1:13" x14ac:dyDescent="0.3">
      <c r="A348" s="1852" t="s">
        <v>2871</v>
      </c>
      <c r="B348" s="1462"/>
      <c r="C348" s="1456">
        <v>2410</v>
      </c>
      <c r="D348" s="1456">
        <v>2410</v>
      </c>
      <c r="E348" s="1462"/>
      <c r="J348" s="1541">
        <f t="shared" si="20"/>
        <v>0</v>
      </c>
      <c r="K348" s="1541">
        <f t="shared" si="21"/>
        <v>2410</v>
      </c>
      <c r="L348" s="1541">
        <f t="shared" si="22"/>
        <v>2410</v>
      </c>
      <c r="M348" s="1541">
        <f t="shared" si="23"/>
        <v>0</v>
      </c>
    </row>
    <row r="349" spans="1:13" x14ac:dyDescent="0.3">
      <c r="A349" s="1855" t="s">
        <v>2872</v>
      </c>
      <c r="B349" s="1462"/>
      <c r="C349" s="1456">
        <v>560</v>
      </c>
      <c r="D349" s="1456">
        <v>560</v>
      </c>
      <c r="E349" s="1462"/>
      <c r="J349" s="1541">
        <f t="shared" si="20"/>
        <v>0</v>
      </c>
      <c r="K349" s="1541">
        <f t="shared" si="21"/>
        <v>560</v>
      </c>
      <c r="L349" s="1541">
        <f t="shared" si="22"/>
        <v>560</v>
      </c>
      <c r="M349" s="1541">
        <f t="shared" si="23"/>
        <v>0</v>
      </c>
    </row>
    <row r="350" spans="1:13" x14ac:dyDescent="0.3">
      <c r="A350" s="1852" t="s">
        <v>2873</v>
      </c>
      <c r="B350" s="1462"/>
      <c r="C350" s="1456">
        <v>1855</v>
      </c>
      <c r="D350" s="1456">
        <v>1855</v>
      </c>
      <c r="E350" s="1462"/>
      <c r="J350" s="1541">
        <f t="shared" si="20"/>
        <v>0</v>
      </c>
      <c r="K350" s="1541">
        <f t="shared" si="21"/>
        <v>1855</v>
      </c>
      <c r="L350" s="1541">
        <f t="shared" si="22"/>
        <v>1855</v>
      </c>
      <c r="M350" s="1541">
        <f t="shared" si="23"/>
        <v>0</v>
      </c>
    </row>
    <row r="351" spans="1:13" x14ac:dyDescent="0.3">
      <c r="A351" s="1852" t="s">
        <v>2874</v>
      </c>
      <c r="B351" s="1462"/>
      <c r="C351" s="1456">
        <v>926</v>
      </c>
      <c r="D351" s="1456">
        <v>926</v>
      </c>
      <c r="E351" s="1462"/>
      <c r="J351" s="1541">
        <f t="shared" si="20"/>
        <v>0</v>
      </c>
      <c r="K351" s="1541">
        <f t="shared" si="21"/>
        <v>926</v>
      </c>
      <c r="L351" s="1541">
        <f t="shared" si="22"/>
        <v>926</v>
      </c>
      <c r="M351" s="1541">
        <f t="shared" si="23"/>
        <v>0</v>
      </c>
    </row>
    <row r="352" spans="1:13" x14ac:dyDescent="0.3">
      <c r="A352" s="1852" t="s">
        <v>2875</v>
      </c>
      <c r="B352" s="1462"/>
      <c r="C352" s="1456">
        <v>17506</v>
      </c>
      <c r="D352" s="1456">
        <v>17506</v>
      </c>
      <c r="E352" s="1462"/>
      <c r="J352" s="1541">
        <f t="shared" si="20"/>
        <v>0</v>
      </c>
      <c r="K352" s="1541">
        <f t="shared" si="21"/>
        <v>17506</v>
      </c>
      <c r="L352" s="1541">
        <f t="shared" si="22"/>
        <v>17506</v>
      </c>
      <c r="M352" s="1541">
        <f t="shared" si="23"/>
        <v>0</v>
      </c>
    </row>
    <row r="353" spans="1:13" x14ac:dyDescent="0.3">
      <c r="A353" s="1852" t="s">
        <v>2877</v>
      </c>
      <c r="B353" s="1462"/>
      <c r="C353" s="1456">
        <v>2990</v>
      </c>
      <c r="D353" s="1456">
        <v>2990</v>
      </c>
      <c r="E353" s="1462"/>
      <c r="J353" s="1541">
        <f t="shared" si="20"/>
        <v>0</v>
      </c>
      <c r="K353" s="1541">
        <f t="shared" si="21"/>
        <v>2990</v>
      </c>
      <c r="L353" s="1541">
        <f t="shared" si="22"/>
        <v>2990</v>
      </c>
      <c r="M353" s="1541">
        <f t="shared" si="23"/>
        <v>0</v>
      </c>
    </row>
    <row r="354" spans="1:13" x14ac:dyDescent="0.3">
      <c r="A354" s="1852" t="s">
        <v>2878</v>
      </c>
      <c r="B354" s="1462"/>
      <c r="C354" s="1456">
        <v>12576</v>
      </c>
      <c r="D354" s="1456">
        <v>12576</v>
      </c>
      <c r="E354" s="1462"/>
      <c r="J354" s="1541">
        <f t="shared" ref="J354:J417" si="24">B354+F354</f>
        <v>0</v>
      </c>
      <c r="K354" s="1541">
        <f t="shared" ref="K354:K417" si="25">C354+G354</f>
        <v>12576</v>
      </c>
      <c r="L354" s="1541">
        <f t="shared" ref="L354:L417" si="26">D354+H354</f>
        <v>12576</v>
      </c>
      <c r="M354" s="1541">
        <f t="shared" ref="M354:M417" si="27">E354+I354</f>
        <v>0</v>
      </c>
    </row>
    <row r="355" spans="1:13" x14ac:dyDescent="0.3">
      <c r="A355" s="1852" t="s">
        <v>2879</v>
      </c>
      <c r="B355" s="1462"/>
      <c r="C355" s="1456">
        <v>166</v>
      </c>
      <c r="D355" s="1456">
        <v>166</v>
      </c>
      <c r="E355" s="1462"/>
      <c r="J355" s="1541">
        <f t="shared" si="24"/>
        <v>0</v>
      </c>
      <c r="K355" s="1541">
        <f t="shared" si="25"/>
        <v>166</v>
      </c>
      <c r="L355" s="1541">
        <f t="shared" si="26"/>
        <v>166</v>
      </c>
      <c r="M355" s="1541">
        <f t="shared" si="27"/>
        <v>0</v>
      </c>
    </row>
    <row r="356" spans="1:13" x14ac:dyDescent="0.3">
      <c r="A356" s="1855" t="s">
        <v>2880</v>
      </c>
      <c r="B356" s="1462"/>
      <c r="C356" s="1456">
        <v>790</v>
      </c>
      <c r="D356" s="1456">
        <v>790</v>
      </c>
      <c r="E356" s="1462"/>
      <c r="J356" s="1541">
        <f t="shared" si="24"/>
        <v>0</v>
      </c>
      <c r="K356" s="1541">
        <f t="shared" si="25"/>
        <v>790</v>
      </c>
      <c r="L356" s="1541">
        <f t="shared" si="26"/>
        <v>790</v>
      </c>
      <c r="M356" s="1541">
        <f t="shared" si="27"/>
        <v>0</v>
      </c>
    </row>
    <row r="357" spans="1:13" x14ac:dyDescent="0.3">
      <c r="A357" s="1855" t="s">
        <v>2881</v>
      </c>
      <c r="B357" s="1462"/>
      <c r="C357" s="1456">
        <v>1000</v>
      </c>
      <c r="D357" s="1456">
        <v>1000</v>
      </c>
      <c r="E357" s="1462"/>
      <c r="J357" s="1541">
        <f t="shared" si="24"/>
        <v>0</v>
      </c>
      <c r="K357" s="1541">
        <f t="shared" si="25"/>
        <v>1000</v>
      </c>
      <c r="L357" s="1541">
        <f t="shared" si="26"/>
        <v>1000</v>
      </c>
      <c r="M357" s="1541">
        <f t="shared" si="27"/>
        <v>0</v>
      </c>
    </row>
    <row r="358" spans="1:13" x14ac:dyDescent="0.3">
      <c r="A358" s="1852" t="s">
        <v>2882</v>
      </c>
      <c r="B358" s="1462"/>
      <c r="C358" s="1456">
        <v>147423</v>
      </c>
      <c r="D358" s="1456">
        <v>147423</v>
      </c>
      <c r="E358" s="1462"/>
      <c r="J358" s="1541">
        <f t="shared" si="24"/>
        <v>0</v>
      </c>
      <c r="K358" s="1541">
        <f t="shared" si="25"/>
        <v>147423</v>
      </c>
      <c r="L358" s="1541">
        <f t="shared" si="26"/>
        <v>147423</v>
      </c>
      <c r="M358" s="1541">
        <f t="shared" si="27"/>
        <v>0</v>
      </c>
    </row>
    <row r="359" spans="1:13" x14ac:dyDescent="0.3">
      <c r="A359" s="1852" t="s">
        <v>2883</v>
      </c>
      <c r="B359" s="1462"/>
      <c r="C359" s="1456">
        <v>15826</v>
      </c>
      <c r="D359" s="1456">
        <v>15826</v>
      </c>
      <c r="E359" s="1462"/>
      <c r="J359" s="1541">
        <f t="shared" si="24"/>
        <v>0</v>
      </c>
      <c r="K359" s="1541">
        <f t="shared" si="25"/>
        <v>15826</v>
      </c>
      <c r="L359" s="1541">
        <f t="shared" si="26"/>
        <v>15826</v>
      </c>
      <c r="M359" s="1541">
        <f t="shared" si="27"/>
        <v>0</v>
      </c>
    </row>
    <row r="360" spans="1:13" x14ac:dyDescent="0.3">
      <c r="A360" s="1852" t="s">
        <v>2884</v>
      </c>
      <c r="B360" s="1462"/>
      <c r="C360" s="1456">
        <v>3124</v>
      </c>
      <c r="D360" s="1456">
        <v>3124</v>
      </c>
      <c r="E360" s="1462"/>
      <c r="J360" s="1541">
        <f t="shared" si="24"/>
        <v>0</v>
      </c>
      <c r="K360" s="1541">
        <f t="shared" si="25"/>
        <v>3124</v>
      </c>
      <c r="L360" s="1541">
        <f t="shared" si="26"/>
        <v>3124</v>
      </c>
      <c r="M360" s="1541">
        <f t="shared" si="27"/>
        <v>0</v>
      </c>
    </row>
    <row r="361" spans="1:13" x14ac:dyDescent="0.3">
      <c r="A361" s="1852" t="s">
        <v>2885</v>
      </c>
      <c r="B361" s="1462"/>
      <c r="C361" s="1456">
        <v>1834</v>
      </c>
      <c r="D361" s="1456">
        <v>1834</v>
      </c>
      <c r="E361" s="1462"/>
      <c r="J361" s="1541">
        <f t="shared" si="24"/>
        <v>0</v>
      </c>
      <c r="K361" s="1541">
        <f t="shared" si="25"/>
        <v>1834</v>
      </c>
      <c r="L361" s="1541">
        <f t="shared" si="26"/>
        <v>1834</v>
      </c>
      <c r="M361" s="1541">
        <f t="shared" si="27"/>
        <v>0</v>
      </c>
    </row>
    <row r="362" spans="1:13" x14ac:dyDescent="0.3">
      <c r="A362" s="1855" t="s">
        <v>2886</v>
      </c>
      <c r="B362" s="1462"/>
      <c r="C362" s="1456">
        <v>280</v>
      </c>
      <c r="D362" s="1456">
        <v>280</v>
      </c>
      <c r="E362" s="1462"/>
      <c r="J362" s="1541">
        <f t="shared" si="24"/>
        <v>0</v>
      </c>
      <c r="K362" s="1541">
        <f t="shared" si="25"/>
        <v>280</v>
      </c>
      <c r="L362" s="1541">
        <f t="shared" si="26"/>
        <v>280</v>
      </c>
      <c r="M362" s="1541">
        <f t="shared" si="27"/>
        <v>0</v>
      </c>
    </row>
    <row r="363" spans="1:13" x14ac:dyDescent="0.3">
      <c r="A363" s="1852" t="s">
        <v>2887</v>
      </c>
      <c r="B363" s="1462"/>
      <c r="C363" s="1456">
        <v>20001</v>
      </c>
      <c r="D363" s="1456">
        <v>20001</v>
      </c>
      <c r="E363" s="1462"/>
      <c r="J363" s="1541">
        <f t="shared" si="24"/>
        <v>0</v>
      </c>
      <c r="K363" s="1541">
        <f t="shared" si="25"/>
        <v>20001</v>
      </c>
      <c r="L363" s="1541">
        <f t="shared" si="26"/>
        <v>20001</v>
      </c>
      <c r="M363" s="1541">
        <f t="shared" si="27"/>
        <v>0</v>
      </c>
    </row>
    <row r="364" spans="1:13" x14ac:dyDescent="0.3">
      <c r="A364" s="1852" t="s">
        <v>2888</v>
      </c>
      <c r="B364" s="1462"/>
      <c r="C364" s="1456">
        <v>3534</v>
      </c>
      <c r="D364" s="1456">
        <v>3534</v>
      </c>
      <c r="E364" s="1462"/>
      <c r="J364" s="1541">
        <f t="shared" si="24"/>
        <v>0</v>
      </c>
      <c r="K364" s="1541">
        <f t="shared" si="25"/>
        <v>3534</v>
      </c>
      <c r="L364" s="1541">
        <f t="shared" si="26"/>
        <v>3534</v>
      </c>
      <c r="M364" s="1541">
        <f t="shared" si="27"/>
        <v>0</v>
      </c>
    </row>
    <row r="365" spans="1:13" x14ac:dyDescent="0.3">
      <c r="A365" s="1852" t="s">
        <v>2889</v>
      </c>
      <c r="B365" s="1462"/>
      <c r="C365" s="1456">
        <v>766</v>
      </c>
      <c r="D365" s="1456">
        <v>766</v>
      </c>
      <c r="E365" s="1462"/>
      <c r="J365" s="1541">
        <f t="shared" si="24"/>
        <v>0</v>
      </c>
      <c r="K365" s="1541">
        <f t="shared" si="25"/>
        <v>766</v>
      </c>
      <c r="L365" s="1541">
        <f t="shared" si="26"/>
        <v>766</v>
      </c>
      <c r="M365" s="1541">
        <f t="shared" si="27"/>
        <v>0</v>
      </c>
    </row>
    <row r="366" spans="1:13" x14ac:dyDescent="0.3">
      <c r="A366" s="1852" t="s">
        <v>2890</v>
      </c>
      <c r="B366" s="1462"/>
      <c r="C366" s="1456">
        <v>3146</v>
      </c>
      <c r="D366" s="1456">
        <v>3146</v>
      </c>
      <c r="E366" s="1462"/>
      <c r="J366" s="1541">
        <f t="shared" si="24"/>
        <v>0</v>
      </c>
      <c r="K366" s="1541">
        <f t="shared" si="25"/>
        <v>3146</v>
      </c>
      <c r="L366" s="1541">
        <f t="shared" si="26"/>
        <v>3146</v>
      </c>
      <c r="M366" s="1541">
        <f t="shared" si="27"/>
        <v>0</v>
      </c>
    </row>
    <row r="367" spans="1:13" x14ac:dyDescent="0.3">
      <c r="A367" s="1852" t="s">
        <v>2891</v>
      </c>
      <c r="B367" s="1462"/>
      <c r="C367" s="1456">
        <v>950</v>
      </c>
      <c r="D367" s="1456">
        <v>950</v>
      </c>
      <c r="E367" s="1462"/>
      <c r="J367" s="1541">
        <f t="shared" si="24"/>
        <v>0</v>
      </c>
      <c r="K367" s="1541">
        <f t="shared" si="25"/>
        <v>950</v>
      </c>
      <c r="L367" s="1541">
        <f t="shared" si="26"/>
        <v>950</v>
      </c>
      <c r="M367" s="1541">
        <f t="shared" si="27"/>
        <v>0</v>
      </c>
    </row>
    <row r="368" spans="1:13" x14ac:dyDescent="0.3">
      <c r="A368" s="1855" t="s">
        <v>2893</v>
      </c>
      <c r="B368" s="1462"/>
      <c r="C368" s="1456">
        <v>1080</v>
      </c>
      <c r="D368" s="1456">
        <v>1080</v>
      </c>
      <c r="E368" s="1462"/>
      <c r="J368" s="1541">
        <f t="shared" si="24"/>
        <v>0</v>
      </c>
      <c r="K368" s="1541">
        <f t="shared" si="25"/>
        <v>1080</v>
      </c>
      <c r="L368" s="1541">
        <f t="shared" si="26"/>
        <v>1080</v>
      </c>
      <c r="M368" s="1541">
        <f t="shared" si="27"/>
        <v>0</v>
      </c>
    </row>
    <row r="369" spans="1:13" x14ac:dyDescent="0.3">
      <c r="A369" s="1852" t="s">
        <v>2894</v>
      </c>
      <c r="B369" s="1462"/>
      <c r="C369" s="1456">
        <v>20512</v>
      </c>
      <c r="D369" s="1456">
        <v>20512</v>
      </c>
      <c r="E369" s="1462"/>
      <c r="J369" s="1541">
        <f t="shared" si="24"/>
        <v>0</v>
      </c>
      <c r="K369" s="1541">
        <f t="shared" si="25"/>
        <v>20512</v>
      </c>
      <c r="L369" s="1541">
        <f t="shared" si="26"/>
        <v>20512</v>
      </c>
      <c r="M369" s="1541">
        <f t="shared" si="27"/>
        <v>0</v>
      </c>
    </row>
    <row r="370" spans="1:13" x14ac:dyDescent="0.3">
      <c r="A370" s="1855" t="s">
        <v>2895</v>
      </c>
      <c r="B370" s="1462"/>
      <c r="C370" s="1456">
        <v>200</v>
      </c>
      <c r="D370" s="1456">
        <v>200</v>
      </c>
      <c r="E370" s="1462"/>
      <c r="J370" s="1541">
        <f t="shared" si="24"/>
        <v>0</v>
      </c>
      <c r="K370" s="1541">
        <f t="shared" si="25"/>
        <v>200</v>
      </c>
      <c r="L370" s="1541">
        <f t="shared" si="26"/>
        <v>200</v>
      </c>
      <c r="M370" s="1541">
        <f t="shared" si="27"/>
        <v>0</v>
      </c>
    </row>
    <row r="371" spans="1:13" x14ac:dyDescent="0.3">
      <c r="A371" s="1852" t="s">
        <v>2896</v>
      </c>
      <c r="B371" s="1462"/>
      <c r="C371" s="1456">
        <v>1822</v>
      </c>
      <c r="D371" s="1456">
        <v>1822</v>
      </c>
      <c r="E371" s="1462"/>
      <c r="J371" s="1541">
        <f t="shared" si="24"/>
        <v>0</v>
      </c>
      <c r="K371" s="1541">
        <f t="shared" si="25"/>
        <v>1822</v>
      </c>
      <c r="L371" s="1541">
        <f t="shared" si="26"/>
        <v>1822</v>
      </c>
      <c r="M371" s="1541">
        <f t="shared" si="27"/>
        <v>0</v>
      </c>
    </row>
    <row r="372" spans="1:13" x14ac:dyDescent="0.3">
      <c r="A372" s="1852" t="s">
        <v>2897</v>
      </c>
      <c r="B372" s="1462"/>
      <c r="C372" s="1456">
        <v>62010</v>
      </c>
      <c r="D372" s="1456">
        <v>62010</v>
      </c>
      <c r="E372" s="1462"/>
      <c r="J372" s="1541">
        <f t="shared" si="24"/>
        <v>0</v>
      </c>
      <c r="K372" s="1541">
        <f t="shared" si="25"/>
        <v>62010</v>
      </c>
      <c r="L372" s="1541">
        <f t="shared" si="26"/>
        <v>62010</v>
      </c>
      <c r="M372" s="1541">
        <f t="shared" si="27"/>
        <v>0</v>
      </c>
    </row>
    <row r="373" spans="1:13" x14ac:dyDescent="0.3">
      <c r="A373" s="1852" t="s">
        <v>2898</v>
      </c>
      <c r="B373" s="1462"/>
      <c r="C373" s="1456">
        <v>190</v>
      </c>
      <c r="D373" s="1456">
        <v>190</v>
      </c>
      <c r="E373" s="1462"/>
      <c r="J373" s="1541">
        <f t="shared" si="24"/>
        <v>0</v>
      </c>
      <c r="K373" s="1541">
        <f t="shared" si="25"/>
        <v>190</v>
      </c>
      <c r="L373" s="1541">
        <f t="shared" si="26"/>
        <v>190</v>
      </c>
      <c r="M373" s="1541">
        <f t="shared" si="27"/>
        <v>0</v>
      </c>
    </row>
    <row r="374" spans="1:13" x14ac:dyDescent="0.3">
      <c r="A374" s="1852" t="s">
        <v>2899</v>
      </c>
      <c r="B374" s="1462"/>
      <c r="C374" s="1456">
        <v>18000</v>
      </c>
      <c r="D374" s="1456">
        <v>18000</v>
      </c>
      <c r="E374" s="1462"/>
      <c r="J374" s="1541">
        <f t="shared" si="24"/>
        <v>0</v>
      </c>
      <c r="K374" s="1541">
        <f t="shared" si="25"/>
        <v>18000</v>
      </c>
      <c r="L374" s="1541">
        <f t="shared" si="26"/>
        <v>18000</v>
      </c>
      <c r="M374" s="1541">
        <f t="shared" si="27"/>
        <v>0</v>
      </c>
    </row>
    <row r="375" spans="1:13" x14ac:dyDescent="0.3">
      <c r="A375" s="1852" t="s">
        <v>2900</v>
      </c>
      <c r="B375" s="1462"/>
      <c r="C375" s="1456">
        <v>636</v>
      </c>
      <c r="D375" s="1456">
        <v>636</v>
      </c>
      <c r="E375" s="1462"/>
      <c r="J375" s="1541">
        <f t="shared" si="24"/>
        <v>0</v>
      </c>
      <c r="K375" s="1541">
        <f t="shared" si="25"/>
        <v>636</v>
      </c>
      <c r="L375" s="1541">
        <f t="shared" si="26"/>
        <v>636</v>
      </c>
      <c r="M375" s="1541">
        <f t="shared" si="27"/>
        <v>0</v>
      </c>
    </row>
    <row r="376" spans="1:13" x14ac:dyDescent="0.3">
      <c r="A376" s="1852" t="s">
        <v>2901</v>
      </c>
      <c r="B376" s="1462"/>
      <c r="C376" s="1456">
        <v>180</v>
      </c>
      <c r="D376" s="1456">
        <v>180</v>
      </c>
      <c r="E376" s="1462"/>
      <c r="J376" s="1541">
        <f t="shared" si="24"/>
        <v>0</v>
      </c>
      <c r="K376" s="1541">
        <f t="shared" si="25"/>
        <v>180</v>
      </c>
      <c r="L376" s="1541">
        <f t="shared" si="26"/>
        <v>180</v>
      </c>
      <c r="M376" s="1541">
        <f t="shared" si="27"/>
        <v>0</v>
      </c>
    </row>
    <row r="377" spans="1:13" x14ac:dyDescent="0.3">
      <c r="A377" s="1852" t="s">
        <v>2903</v>
      </c>
      <c r="B377" s="1462"/>
      <c r="C377" s="1456">
        <v>660</v>
      </c>
      <c r="D377" s="1456">
        <v>660</v>
      </c>
      <c r="E377" s="1462"/>
      <c r="J377" s="1541">
        <f t="shared" si="24"/>
        <v>0</v>
      </c>
      <c r="K377" s="1541">
        <f t="shared" si="25"/>
        <v>660</v>
      </c>
      <c r="L377" s="1541">
        <f t="shared" si="26"/>
        <v>660</v>
      </c>
      <c r="M377" s="1541">
        <f t="shared" si="27"/>
        <v>0</v>
      </c>
    </row>
    <row r="378" spans="1:13" x14ac:dyDescent="0.3">
      <c r="A378" s="1855" t="s">
        <v>2904</v>
      </c>
      <c r="B378" s="1462"/>
      <c r="C378" s="1456">
        <v>400</v>
      </c>
      <c r="D378" s="1456">
        <v>400</v>
      </c>
      <c r="E378" s="1462"/>
      <c r="J378" s="1541">
        <f t="shared" si="24"/>
        <v>0</v>
      </c>
      <c r="K378" s="1541">
        <f t="shared" si="25"/>
        <v>400</v>
      </c>
      <c r="L378" s="1541">
        <f t="shared" si="26"/>
        <v>400</v>
      </c>
      <c r="M378" s="1541">
        <f t="shared" si="27"/>
        <v>0</v>
      </c>
    </row>
    <row r="379" spans="1:13" x14ac:dyDescent="0.3">
      <c r="A379" s="1852" t="s">
        <v>2905</v>
      </c>
      <c r="B379" s="1462"/>
      <c r="C379" s="1456">
        <v>3918</v>
      </c>
      <c r="D379" s="1456">
        <v>3918</v>
      </c>
      <c r="E379" s="1462"/>
      <c r="J379" s="1541">
        <f t="shared" si="24"/>
        <v>0</v>
      </c>
      <c r="K379" s="1541">
        <f t="shared" si="25"/>
        <v>3918</v>
      </c>
      <c r="L379" s="1541">
        <f t="shared" si="26"/>
        <v>3918</v>
      </c>
      <c r="M379" s="1541">
        <f t="shared" si="27"/>
        <v>0</v>
      </c>
    </row>
    <row r="380" spans="1:13" x14ac:dyDescent="0.3">
      <c r="A380" s="1852" t="s">
        <v>2906</v>
      </c>
      <c r="B380" s="1462"/>
      <c r="C380" s="1456">
        <v>1400</v>
      </c>
      <c r="D380" s="1456">
        <v>1400</v>
      </c>
      <c r="E380" s="1462"/>
      <c r="J380" s="1541">
        <f t="shared" si="24"/>
        <v>0</v>
      </c>
      <c r="K380" s="1541">
        <f t="shared" si="25"/>
        <v>1400</v>
      </c>
      <c r="L380" s="1541">
        <f t="shared" si="26"/>
        <v>1400</v>
      </c>
      <c r="M380" s="1541">
        <f t="shared" si="27"/>
        <v>0</v>
      </c>
    </row>
    <row r="381" spans="1:13" x14ac:dyDescent="0.3">
      <c r="A381" s="1855" t="s">
        <v>2908</v>
      </c>
      <c r="B381" s="1462"/>
      <c r="C381" s="1456">
        <v>12700</v>
      </c>
      <c r="D381" s="1456">
        <v>12700</v>
      </c>
      <c r="E381" s="1462"/>
      <c r="J381" s="1541">
        <f t="shared" si="24"/>
        <v>0</v>
      </c>
      <c r="K381" s="1541">
        <f t="shared" si="25"/>
        <v>12700</v>
      </c>
      <c r="L381" s="1541">
        <f t="shared" si="26"/>
        <v>12700</v>
      </c>
      <c r="M381" s="1541">
        <f t="shared" si="27"/>
        <v>0</v>
      </c>
    </row>
    <row r="382" spans="1:13" x14ac:dyDescent="0.3">
      <c r="A382" s="1852" t="s">
        <v>2909</v>
      </c>
      <c r="B382" s="1462"/>
      <c r="C382" s="1456">
        <v>2150</v>
      </c>
      <c r="D382" s="1456">
        <v>2150</v>
      </c>
      <c r="E382" s="1462"/>
      <c r="J382" s="1541">
        <f t="shared" si="24"/>
        <v>0</v>
      </c>
      <c r="K382" s="1541">
        <f t="shared" si="25"/>
        <v>2150</v>
      </c>
      <c r="L382" s="1541">
        <f t="shared" si="26"/>
        <v>2150</v>
      </c>
      <c r="M382" s="1541">
        <f t="shared" si="27"/>
        <v>0</v>
      </c>
    </row>
    <row r="383" spans="1:13" x14ac:dyDescent="0.3">
      <c r="A383" s="1852" t="s">
        <v>2910</v>
      </c>
      <c r="B383" s="1462"/>
      <c r="C383" s="1456">
        <v>1230</v>
      </c>
      <c r="D383" s="1456">
        <v>1230</v>
      </c>
      <c r="E383" s="1462"/>
      <c r="J383" s="1541">
        <f t="shared" si="24"/>
        <v>0</v>
      </c>
      <c r="K383" s="1541">
        <f t="shared" si="25"/>
        <v>1230</v>
      </c>
      <c r="L383" s="1541">
        <f t="shared" si="26"/>
        <v>1230</v>
      </c>
      <c r="M383" s="1541">
        <f t="shared" si="27"/>
        <v>0</v>
      </c>
    </row>
    <row r="384" spans="1:13" x14ac:dyDescent="0.3">
      <c r="A384" s="1855" t="s">
        <v>2911</v>
      </c>
      <c r="B384" s="1462"/>
      <c r="C384" s="1456">
        <v>5120</v>
      </c>
      <c r="D384" s="1456">
        <v>5120</v>
      </c>
      <c r="E384" s="1462"/>
      <c r="J384" s="1541">
        <f t="shared" si="24"/>
        <v>0</v>
      </c>
      <c r="K384" s="1541">
        <f t="shared" si="25"/>
        <v>5120</v>
      </c>
      <c r="L384" s="1541">
        <f t="shared" si="26"/>
        <v>5120</v>
      </c>
      <c r="M384" s="1541">
        <f t="shared" si="27"/>
        <v>0</v>
      </c>
    </row>
    <row r="385" spans="1:13" x14ac:dyDescent="0.3">
      <c r="A385" s="1855" t="s">
        <v>2912</v>
      </c>
      <c r="B385" s="1462"/>
      <c r="C385" s="1456">
        <v>6600</v>
      </c>
      <c r="D385" s="1456">
        <v>6600</v>
      </c>
      <c r="E385" s="1462"/>
      <c r="J385" s="1541">
        <f t="shared" si="24"/>
        <v>0</v>
      </c>
      <c r="K385" s="1541">
        <f t="shared" si="25"/>
        <v>6600</v>
      </c>
      <c r="L385" s="1541">
        <f t="shared" si="26"/>
        <v>6600</v>
      </c>
      <c r="M385" s="1541">
        <f t="shared" si="27"/>
        <v>0</v>
      </c>
    </row>
    <row r="386" spans="1:13" x14ac:dyDescent="0.3">
      <c r="A386" s="1852" t="s">
        <v>2913</v>
      </c>
      <c r="B386" s="1462"/>
      <c r="C386" s="1456">
        <v>3116</v>
      </c>
      <c r="D386" s="1456">
        <v>3116</v>
      </c>
      <c r="E386" s="1462"/>
      <c r="J386" s="1541">
        <f t="shared" si="24"/>
        <v>0</v>
      </c>
      <c r="K386" s="1541">
        <f t="shared" si="25"/>
        <v>3116</v>
      </c>
      <c r="L386" s="1541">
        <f t="shared" si="26"/>
        <v>3116</v>
      </c>
      <c r="M386" s="1541">
        <f t="shared" si="27"/>
        <v>0</v>
      </c>
    </row>
    <row r="387" spans="1:13" x14ac:dyDescent="0.3">
      <c r="A387" s="1461" t="s">
        <v>2914</v>
      </c>
      <c r="B387" s="1462"/>
      <c r="C387" s="1456">
        <v>25200</v>
      </c>
      <c r="D387" s="1456">
        <v>25200</v>
      </c>
      <c r="E387" s="1462"/>
      <c r="J387" s="1541">
        <f t="shared" si="24"/>
        <v>0</v>
      </c>
      <c r="K387" s="1541">
        <f t="shared" si="25"/>
        <v>25200</v>
      </c>
      <c r="L387" s="1541">
        <f t="shared" si="26"/>
        <v>25200</v>
      </c>
      <c r="M387" s="1541">
        <f t="shared" si="27"/>
        <v>0</v>
      </c>
    </row>
    <row r="388" spans="1:13" x14ac:dyDescent="0.3">
      <c r="A388" s="1852" t="s">
        <v>2915</v>
      </c>
      <c r="B388" s="1462"/>
      <c r="C388" s="1456">
        <v>1848</v>
      </c>
      <c r="D388" s="1456">
        <v>1848</v>
      </c>
      <c r="E388" s="1462"/>
      <c r="J388" s="1541">
        <f t="shared" si="24"/>
        <v>0</v>
      </c>
      <c r="K388" s="1541">
        <f t="shared" si="25"/>
        <v>1848</v>
      </c>
      <c r="L388" s="1541">
        <f t="shared" si="26"/>
        <v>1848</v>
      </c>
      <c r="M388" s="1541">
        <f t="shared" si="27"/>
        <v>0</v>
      </c>
    </row>
    <row r="389" spans="1:13" x14ac:dyDescent="0.3">
      <c r="A389" s="1852" t="s">
        <v>2916</v>
      </c>
      <c r="B389" s="1462"/>
      <c r="C389" s="1456">
        <v>18996</v>
      </c>
      <c r="D389" s="1456">
        <v>18996</v>
      </c>
      <c r="E389" s="1462"/>
      <c r="J389" s="1541">
        <f t="shared" si="24"/>
        <v>0</v>
      </c>
      <c r="K389" s="1541">
        <f t="shared" si="25"/>
        <v>18996</v>
      </c>
      <c r="L389" s="1541">
        <f t="shared" si="26"/>
        <v>18996</v>
      </c>
      <c r="M389" s="1541">
        <f t="shared" si="27"/>
        <v>0</v>
      </c>
    </row>
    <row r="390" spans="1:13" x14ac:dyDescent="0.3">
      <c r="A390" s="1852" t="s">
        <v>2917</v>
      </c>
      <c r="B390" s="1462"/>
      <c r="C390" s="1456">
        <v>3240</v>
      </c>
      <c r="D390" s="1456">
        <v>3240</v>
      </c>
      <c r="E390" s="1462"/>
      <c r="J390" s="1541">
        <f t="shared" si="24"/>
        <v>0</v>
      </c>
      <c r="K390" s="1541">
        <f t="shared" si="25"/>
        <v>3240</v>
      </c>
      <c r="L390" s="1541">
        <f t="shared" si="26"/>
        <v>3240</v>
      </c>
      <c r="M390" s="1541">
        <f t="shared" si="27"/>
        <v>0</v>
      </c>
    </row>
    <row r="391" spans="1:13" x14ac:dyDescent="0.3">
      <c r="A391" s="1852" t="s">
        <v>2918</v>
      </c>
      <c r="B391" s="1462"/>
      <c r="C391" s="1456">
        <v>8224</v>
      </c>
      <c r="D391" s="1456">
        <v>8224</v>
      </c>
      <c r="E391" s="1462"/>
      <c r="J391" s="1541">
        <f t="shared" si="24"/>
        <v>0</v>
      </c>
      <c r="K391" s="1541">
        <f t="shared" si="25"/>
        <v>8224</v>
      </c>
      <c r="L391" s="1541">
        <f t="shared" si="26"/>
        <v>8224</v>
      </c>
      <c r="M391" s="1541">
        <f t="shared" si="27"/>
        <v>0</v>
      </c>
    </row>
    <row r="392" spans="1:13" x14ac:dyDescent="0.3">
      <c r="A392" s="1852" t="s">
        <v>2919</v>
      </c>
      <c r="B392" s="1462"/>
      <c r="C392" s="1456">
        <v>32537</v>
      </c>
      <c r="D392" s="1456">
        <v>32537</v>
      </c>
      <c r="E392" s="1462"/>
      <c r="J392" s="1541">
        <f t="shared" si="24"/>
        <v>0</v>
      </c>
      <c r="K392" s="1541">
        <f t="shared" si="25"/>
        <v>32537</v>
      </c>
      <c r="L392" s="1541">
        <f t="shared" si="26"/>
        <v>32537</v>
      </c>
      <c r="M392" s="1541">
        <f t="shared" si="27"/>
        <v>0</v>
      </c>
    </row>
    <row r="393" spans="1:13" x14ac:dyDescent="0.3">
      <c r="A393" s="1852" t="s">
        <v>2920</v>
      </c>
      <c r="B393" s="1462"/>
      <c r="C393" s="1456">
        <v>4256</v>
      </c>
      <c r="D393" s="1456">
        <v>4256</v>
      </c>
      <c r="E393" s="1462"/>
      <c r="J393" s="1541">
        <f t="shared" si="24"/>
        <v>0</v>
      </c>
      <c r="K393" s="1541">
        <f t="shared" si="25"/>
        <v>4256</v>
      </c>
      <c r="L393" s="1541">
        <f t="shared" si="26"/>
        <v>4256</v>
      </c>
      <c r="M393" s="1541">
        <f t="shared" si="27"/>
        <v>0</v>
      </c>
    </row>
    <row r="394" spans="1:13" x14ac:dyDescent="0.3">
      <c r="A394" s="1852" t="s">
        <v>2921</v>
      </c>
      <c r="B394" s="1462"/>
      <c r="C394" s="1456">
        <v>8775</v>
      </c>
      <c r="D394" s="1456">
        <v>8775</v>
      </c>
      <c r="E394" s="1462"/>
      <c r="J394" s="1541">
        <f t="shared" si="24"/>
        <v>0</v>
      </c>
      <c r="K394" s="1541">
        <f t="shared" si="25"/>
        <v>8775</v>
      </c>
      <c r="L394" s="1541">
        <f t="shared" si="26"/>
        <v>8775</v>
      </c>
      <c r="M394" s="1541">
        <f t="shared" si="27"/>
        <v>0</v>
      </c>
    </row>
    <row r="395" spans="1:13" x14ac:dyDescent="0.3">
      <c r="A395" s="1852" t="s">
        <v>2922</v>
      </c>
      <c r="B395" s="1462"/>
      <c r="C395" s="1456">
        <v>675</v>
      </c>
      <c r="D395" s="1456">
        <v>675</v>
      </c>
      <c r="E395" s="1462"/>
      <c r="J395" s="1541">
        <f t="shared" si="24"/>
        <v>0</v>
      </c>
      <c r="K395" s="1541">
        <f t="shared" si="25"/>
        <v>675</v>
      </c>
      <c r="L395" s="1541">
        <f t="shared" si="26"/>
        <v>675</v>
      </c>
      <c r="M395" s="1541">
        <f t="shared" si="27"/>
        <v>0</v>
      </c>
    </row>
    <row r="396" spans="1:13" x14ac:dyDescent="0.3">
      <c r="A396" s="1852" t="s">
        <v>2923</v>
      </c>
      <c r="B396" s="1462"/>
      <c r="C396" s="1456">
        <v>3003</v>
      </c>
      <c r="D396" s="1456">
        <v>3003</v>
      </c>
      <c r="E396" s="1462"/>
      <c r="J396" s="1541">
        <f t="shared" si="24"/>
        <v>0</v>
      </c>
      <c r="K396" s="1541">
        <f t="shared" si="25"/>
        <v>3003</v>
      </c>
      <c r="L396" s="1541">
        <f t="shared" si="26"/>
        <v>3003</v>
      </c>
      <c r="M396" s="1541">
        <f t="shared" si="27"/>
        <v>0</v>
      </c>
    </row>
    <row r="397" spans="1:13" x14ac:dyDescent="0.3">
      <c r="A397" s="1852" t="s">
        <v>2924</v>
      </c>
      <c r="B397" s="1462"/>
      <c r="C397" s="1456">
        <v>180</v>
      </c>
      <c r="D397" s="1456">
        <v>180</v>
      </c>
      <c r="E397" s="1462"/>
      <c r="J397" s="1541">
        <f t="shared" si="24"/>
        <v>0</v>
      </c>
      <c r="K397" s="1541">
        <f t="shared" si="25"/>
        <v>180</v>
      </c>
      <c r="L397" s="1541">
        <f t="shared" si="26"/>
        <v>180</v>
      </c>
      <c r="M397" s="1541">
        <f t="shared" si="27"/>
        <v>0</v>
      </c>
    </row>
    <row r="398" spans="1:13" x14ac:dyDescent="0.3">
      <c r="A398" s="1852" t="s">
        <v>2925</v>
      </c>
      <c r="B398" s="1462"/>
      <c r="C398" s="1456">
        <v>242</v>
      </c>
      <c r="D398" s="1456">
        <v>242</v>
      </c>
      <c r="E398" s="1462"/>
      <c r="J398" s="1541">
        <f t="shared" si="24"/>
        <v>0</v>
      </c>
      <c r="K398" s="1541">
        <f t="shared" si="25"/>
        <v>242</v>
      </c>
      <c r="L398" s="1541">
        <f t="shared" si="26"/>
        <v>242</v>
      </c>
      <c r="M398" s="1541">
        <f t="shared" si="27"/>
        <v>0</v>
      </c>
    </row>
    <row r="399" spans="1:13" x14ac:dyDescent="0.3">
      <c r="A399" s="1852" t="s">
        <v>2926</v>
      </c>
      <c r="B399" s="1462"/>
      <c r="C399" s="1456">
        <v>6226</v>
      </c>
      <c r="D399" s="1456">
        <v>6226</v>
      </c>
      <c r="E399" s="1462"/>
      <c r="J399" s="1541">
        <f t="shared" si="24"/>
        <v>0</v>
      </c>
      <c r="K399" s="1541">
        <f t="shared" si="25"/>
        <v>6226</v>
      </c>
      <c r="L399" s="1541">
        <f t="shared" si="26"/>
        <v>6226</v>
      </c>
      <c r="M399" s="1541">
        <f t="shared" si="27"/>
        <v>0</v>
      </c>
    </row>
    <row r="400" spans="1:13" x14ac:dyDescent="0.3">
      <c r="A400" s="1852" t="s">
        <v>2927</v>
      </c>
      <c r="B400" s="1462"/>
      <c r="C400" s="1456">
        <v>23440</v>
      </c>
      <c r="D400" s="1456">
        <v>23440</v>
      </c>
      <c r="E400" s="1462"/>
      <c r="J400" s="1541">
        <f t="shared" si="24"/>
        <v>0</v>
      </c>
      <c r="K400" s="1541">
        <f t="shared" si="25"/>
        <v>23440</v>
      </c>
      <c r="L400" s="1541">
        <f t="shared" si="26"/>
        <v>23440</v>
      </c>
      <c r="M400" s="1541">
        <f t="shared" si="27"/>
        <v>0</v>
      </c>
    </row>
    <row r="401" spans="1:13" x14ac:dyDescent="0.3">
      <c r="A401" s="1852" t="s">
        <v>2928</v>
      </c>
      <c r="B401" s="1462"/>
      <c r="C401" s="1456">
        <v>446</v>
      </c>
      <c r="D401" s="1456">
        <v>446</v>
      </c>
      <c r="E401" s="1462"/>
      <c r="J401" s="1541">
        <f t="shared" si="24"/>
        <v>0</v>
      </c>
      <c r="K401" s="1541">
        <f t="shared" si="25"/>
        <v>446</v>
      </c>
      <c r="L401" s="1541">
        <f t="shared" si="26"/>
        <v>446</v>
      </c>
      <c r="M401" s="1541">
        <f t="shared" si="27"/>
        <v>0</v>
      </c>
    </row>
    <row r="402" spans="1:13" x14ac:dyDescent="0.3">
      <c r="A402" s="1852" t="s">
        <v>2929</v>
      </c>
      <c r="B402" s="1462"/>
      <c r="C402" s="1456">
        <v>12842</v>
      </c>
      <c r="D402" s="1456">
        <v>12842</v>
      </c>
      <c r="E402" s="1462"/>
      <c r="J402" s="1541">
        <f t="shared" si="24"/>
        <v>0</v>
      </c>
      <c r="K402" s="1541">
        <f t="shared" si="25"/>
        <v>12842</v>
      </c>
      <c r="L402" s="1541">
        <f t="shared" si="26"/>
        <v>12842</v>
      </c>
      <c r="M402" s="1541">
        <f t="shared" si="27"/>
        <v>0</v>
      </c>
    </row>
    <row r="403" spans="1:13" x14ac:dyDescent="0.3">
      <c r="A403" s="1855" t="s">
        <v>2930</v>
      </c>
      <c r="B403" s="1462"/>
      <c r="C403" s="1456">
        <v>24810</v>
      </c>
      <c r="D403" s="1456">
        <v>24810</v>
      </c>
      <c r="E403" s="1462"/>
      <c r="J403" s="1541">
        <f t="shared" si="24"/>
        <v>0</v>
      </c>
      <c r="K403" s="1541">
        <f t="shared" si="25"/>
        <v>24810</v>
      </c>
      <c r="L403" s="1541">
        <f t="shared" si="26"/>
        <v>24810</v>
      </c>
      <c r="M403" s="1541">
        <f t="shared" si="27"/>
        <v>0</v>
      </c>
    </row>
    <row r="404" spans="1:13" x14ac:dyDescent="0.3">
      <c r="A404" s="1852" t="s">
        <v>2931</v>
      </c>
      <c r="B404" s="1462"/>
      <c r="C404" s="1456">
        <v>24750</v>
      </c>
      <c r="D404" s="1456">
        <v>24750</v>
      </c>
      <c r="E404" s="1462"/>
      <c r="J404" s="1541">
        <f t="shared" si="24"/>
        <v>0</v>
      </c>
      <c r="K404" s="1541">
        <f t="shared" si="25"/>
        <v>24750</v>
      </c>
      <c r="L404" s="1541">
        <f t="shared" si="26"/>
        <v>24750</v>
      </c>
      <c r="M404" s="1541">
        <f t="shared" si="27"/>
        <v>0</v>
      </c>
    </row>
    <row r="405" spans="1:13" x14ac:dyDescent="0.3">
      <c r="A405" s="1852" t="s">
        <v>2932</v>
      </c>
      <c r="B405" s="1462"/>
      <c r="C405" s="1456">
        <v>8868</v>
      </c>
      <c r="D405" s="1456">
        <v>8868</v>
      </c>
      <c r="E405" s="1462"/>
      <c r="J405" s="1541">
        <f t="shared" si="24"/>
        <v>0</v>
      </c>
      <c r="K405" s="1541">
        <f t="shared" si="25"/>
        <v>8868</v>
      </c>
      <c r="L405" s="1541">
        <f t="shared" si="26"/>
        <v>8868</v>
      </c>
      <c r="M405" s="1541">
        <f t="shared" si="27"/>
        <v>0</v>
      </c>
    </row>
    <row r="406" spans="1:13" x14ac:dyDescent="0.3">
      <c r="A406" s="1852" t="s">
        <v>2934</v>
      </c>
      <c r="B406" s="1462"/>
      <c r="C406" s="1456">
        <v>140</v>
      </c>
      <c r="D406" s="1456">
        <v>140</v>
      </c>
      <c r="E406" s="1462"/>
      <c r="J406" s="1541">
        <f t="shared" si="24"/>
        <v>0</v>
      </c>
      <c r="K406" s="1541">
        <f t="shared" si="25"/>
        <v>140</v>
      </c>
      <c r="L406" s="1541">
        <f t="shared" si="26"/>
        <v>140</v>
      </c>
      <c r="M406" s="1541">
        <f t="shared" si="27"/>
        <v>0</v>
      </c>
    </row>
    <row r="407" spans="1:13" x14ac:dyDescent="0.3">
      <c r="A407" s="1852" t="s">
        <v>2935</v>
      </c>
      <c r="B407" s="1462"/>
      <c r="C407" s="1456">
        <v>3130</v>
      </c>
      <c r="D407" s="1456">
        <v>3130</v>
      </c>
      <c r="E407" s="1462"/>
      <c r="J407" s="1541">
        <f t="shared" si="24"/>
        <v>0</v>
      </c>
      <c r="K407" s="1541">
        <f t="shared" si="25"/>
        <v>3130</v>
      </c>
      <c r="L407" s="1541">
        <f t="shared" si="26"/>
        <v>3130</v>
      </c>
      <c r="M407" s="1541">
        <f t="shared" si="27"/>
        <v>0</v>
      </c>
    </row>
    <row r="408" spans="1:13" x14ac:dyDescent="0.3">
      <c r="A408" s="1852" t="s">
        <v>2936</v>
      </c>
      <c r="B408" s="1462"/>
      <c r="C408" s="1456">
        <v>826</v>
      </c>
      <c r="D408" s="1456">
        <v>826</v>
      </c>
      <c r="E408" s="1462"/>
      <c r="J408" s="1541">
        <f t="shared" si="24"/>
        <v>0</v>
      </c>
      <c r="K408" s="1541">
        <f t="shared" si="25"/>
        <v>826</v>
      </c>
      <c r="L408" s="1541">
        <f t="shared" si="26"/>
        <v>826</v>
      </c>
      <c r="M408" s="1541">
        <f t="shared" si="27"/>
        <v>0</v>
      </c>
    </row>
    <row r="409" spans="1:13" x14ac:dyDescent="0.3">
      <c r="A409" s="1852" t="s">
        <v>2937</v>
      </c>
      <c r="B409" s="1462"/>
      <c r="C409" s="1456">
        <v>256000</v>
      </c>
      <c r="D409" s="1456">
        <v>256000</v>
      </c>
      <c r="E409" s="1462"/>
      <c r="J409" s="1541">
        <f t="shared" si="24"/>
        <v>0</v>
      </c>
      <c r="K409" s="1541">
        <f t="shared" si="25"/>
        <v>256000</v>
      </c>
      <c r="L409" s="1541">
        <f t="shared" si="26"/>
        <v>256000</v>
      </c>
      <c r="M409" s="1541">
        <f t="shared" si="27"/>
        <v>0</v>
      </c>
    </row>
    <row r="410" spans="1:13" x14ac:dyDescent="0.3">
      <c r="A410" s="1852" t="s">
        <v>2939</v>
      </c>
      <c r="B410" s="1462"/>
      <c r="C410" s="1456">
        <v>1226</v>
      </c>
      <c r="D410" s="1456">
        <v>1226</v>
      </c>
      <c r="E410" s="1462"/>
      <c r="J410" s="1541">
        <f t="shared" si="24"/>
        <v>0</v>
      </c>
      <c r="K410" s="1541">
        <f t="shared" si="25"/>
        <v>1226</v>
      </c>
      <c r="L410" s="1541">
        <f t="shared" si="26"/>
        <v>1226</v>
      </c>
      <c r="M410" s="1541">
        <f t="shared" si="27"/>
        <v>0</v>
      </c>
    </row>
    <row r="411" spans="1:13" x14ac:dyDescent="0.3">
      <c r="A411" s="1852" t="s">
        <v>2940</v>
      </c>
      <c r="B411" s="1462"/>
      <c r="C411" s="1456">
        <v>660</v>
      </c>
      <c r="D411" s="1456">
        <v>660</v>
      </c>
      <c r="E411" s="1462"/>
      <c r="J411" s="1541">
        <f t="shared" si="24"/>
        <v>0</v>
      </c>
      <c r="K411" s="1541">
        <f t="shared" si="25"/>
        <v>660</v>
      </c>
      <c r="L411" s="1541">
        <f t="shared" si="26"/>
        <v>660</v>
      </c>
      <c r="M411" s="1541">
        <f t="shared" si="27"/>
        <v>0</v>
      </c>
    </row>
    <row r="412" spans="1:13" x14ac:dyDescent="0.3">
      <c r="A412" s="1852" t="s">
        <v>2941</v>
      </c>
      <c r="B412" s="1462"/>
      <c r="C412" s="1456">
        <v>11246</v>
      </c>
      <c r="D412" s="1456">
        <v>11246</v>
      </c>
      <c r="E412" s="1462"/>
      <c r="J412" s="1541">
        <f t="shared" si="24"/>
        <v>0</v>
      </c>
      <c r="K412" s="1541">
        <f t="shared" si="25"/>
        <v>11246</v>
      </c>
      <c r="L412" s="1541">
        <f t="shared" si="26"/>
        <v>11246</v>
      </c>
      <c r="M412" s="1541">
        <f t="shared" si="27"/>
        <v>0</v>
      </c>
    </row>
    <row r="413" spans="1:13" x14ac:dyDescent="0.3">
      <c r="A413" s="1852" t="s">
        <v>2942</v>
      </c>
      <c r="B413" s="1462"/>
      <c r="C413" s="1456">
        <v>876</v>
      </c>
      <c r="D413" s="1456">
        <v>876</v>
      </c>
      <c r="E413" s="1462"/>
      <c r="J413" s="1541">
        <f t="shared" si="24"/>
        <v>0</v>
      </c>
      <c r="K413" s="1541">
        <f t="shared" si="25"/>
        <v>876</v>
      </c>
      <c r="L413" s="1541">
        <f t="shared" si="26"/>
        <v>876</v>
      </c>
      <c r="M413" s="1541">
        <f t="shared" si="27"/>
        <v>0</v>
      </c>
    </row>
    <row r="414" spans="1:13" x14ac:dyDescent="0.3">
      <c r="A414" s="1852" t="s">
        <v>2943</v>
      </c>
      <c r="B414" s="1462"/>
      <c r="C414" s="1456">
        <v>366</v>
      </c>
      <c r="D414" s="1456">
        <v>366</v>
      </c>
      <c r="E414" s="1462"/>
      <c r="J414" s="1541">
        <f t="shared" si="24"/>
        <v>0</v>
      </c>
      <c r="K414" s="1541">
        <f t="shared" si="25"/>
        <v>366</v>
      </c>
      <c r="L414" s="1541">
        <f t="shared" si="26"/>
        <v>366</v>
      </c>
      <c r="M414" s="1541">
        <f t="shared" si="27"/>
        <v>0</v>
      </c>
    </row>
    <row r="415" spans="1:13" x14ac:dyDescent="0.3">
      <c r="A415" s="1852" t="s">
        <v>2944</v>
      </c>
      <c r="B415" s="1462"/>
      <c r="C415" s="1456">
        <v>306</v>
      </c>
      <c r="D415" s="1456">
        <v>306</v>
      </c>
      <c r="E415" s="1462"/>
      <c r="J415" s="1541">
        <f t="shared" si="24"/>
        <v>0</v>
      </c>
      <c r="K415" s="1541">
        <f t="shared" si="25"/>
        <v>306</v>
      </c>
      <c r="L415" s="1541">
        <f t="shared" si="26"/>
        <v>306</v>
      </c>
      <c r="M415" s="1541">
        <f t="shared" si="27"/>
        <v>0</v>
      </c>
    </row>
    <row r="416" spans="1:13" x14ac:dyDescent="0.3">
      <c r="A416" s="1852" t="s">
        <v>2945</v>
      </c>
      <c r="B416" s="1462"/>
      <c r="C416" s="1456">
        <v>3080</v>
      </c>
      <c r="D416" s="1456">
        <v>3080</v>
      </c>
      <c r="E416" s="1462"/>
      <c r="J416" s="1541">
        <f t="shared" si="24"/>
        <v>0</v>
      </c>
      <c r="K416" s="1541">
        <f t="shared" si="25"/>
        <v>3080</v>
      </c>
      <c r="L416" s="1541">
        <f t="shared" si="26"/>
        <v>3080</v>
      </c>
      <c r="M416" s="1541">
        <f t="shared" si="27"/>
        <v>0</v>
      </c>
    </row>
    <row r="417" spans="1:13" x14ac:dyDescent="0.3">
      <c r="A417" s="1852" t="s">
        <v>2946</v>
      </c>
      <c r="B417" s="1462"/>
      <c r="C417" s="1456">
        <v>17820</v>
      </c>
      <c r="D417" s="1456">
        <v>17820</v>
      </c>
      <c r="E417" s="1462"/>
      <c r="J417" s="1541">
        <f t="shared" si="24"/>
        <v>0</v>
      </c>
      <c r="K417" s="1541">
        <f t="shared" si="25"/>
        <v>17820</v>
      </c>
      <c r="L417" s="1541">
        <f t="shared" si="26"/>
        <v>17820</v>
      </c>
      <c r="M417" s="1541">
        <f t="shared" si="27"/>
        <v>0</v>
      </c>
    </row>
    <row r="418" spans="1:13" x14ac:dyDescent="0.3">
      <c r="A418" s="1852" t="s">
        <v>2947</v>
      </c>
      <c r="B418" s="1462"/>
      <c r="C418" s="1456">
        <v>74650</v>
      </c>
      <c r="D418" s="1456">
        <v>74650</v>
      </c>
      <c r="E418" s="1462"/>
      <c r="J418" s="1541">
        <f t="shared" ref="J418:J481" si="28">B418+F418</f>
        <v>0</v>
      </c>
      <c r="K418" s="1541">
        <f t="shared" ref="K418:K481" si="29">C418+G418</f>
        <v>74650</v>
      </c>
      <c r="L418" s="1541">
        <f t="shared" ref="L418:L481" si="30">D418+H418</f>
        <v>74650</v>
      </c>
      <c r="M418" s="1541">
        <f t="shared" ref="M418:M481" si="31">E418+I418</f>
        <v>0</v>
      </c>
    </row>
    <row r="419" spans="1:13" x14ac:dyDescent="0.3">
      <c r="A419" s="1852" t="s">
        <v>2948</v>
      </c>
      <c r="B419" s="1462"/>
      <c r="C419" s="1456">
        <v>2420</v>
      </c>
      <c r="D419" s="1456">
        <v>2420</v>
      </c>
      <c r="E419" s="1462"/>
      <c r="J419" s="1541">
        <f t="shared" si="28"/>
        <v>0</v>
      </c>
      <c r="K419" s="1541">
        <f t="shared" si="29"/>
        <v>2420</v>
      </c>
      <c r="L419" s="1541">
        <f t="shared" si="30"/>
        <v>2420</v>
      </c>
      <c r="M419" s="1541">
        <f t="shared" si="31"/>
        <v>0</v>
      </c>
    </row>
    <row r="420" spans="1:13" x14ac:dyDescent="0.3">
      <c r="A420" s="1852" t="s">
        <v>2949</v>
      </c>
      <c r="B420" s="1462"/>
      <c r="C420" s="1456">
        <v>712</v>
      </c>
      <c r="D420" s="1456">
        <v>712</v>
      </c>
      <c r="E420" s="1462"/>
      <c r="J420" s="1541">
        <f t="shared" si="28"/>
        <v>0</v>
      </c>
      <c r="K420" s="1541">
        <f t="shared" si="29"/>
        <v>712</v>
      </c>
      <c r="L420" s="1541">
        <f t="shared" si="30"/>
        <v>712</v>
      </c>
      <c r="M420" s="1541">
        <f t="shared" si="31"/>
        <v>0</v>
      </c>
    </row>
    <row r="421" spans="1:13" x14ac:dyDescent="0.3">
      <c r="A421" s="1852" t="s">
        <v>2950</v>
      </c>
      <c r="B421" s="1462"/>
      <c r="C421" s="1456">
        <v>33940</v>
      </c>
      <c r="D421" s="1456">
        <v>33940</v>
      </c>
      <c r="E421" s="1462"/>
      <c r="J421" s="1541">
        <f t="shared" si="28"/>
        <v>0</v>
      </c>
      <c r="K421" s="1541">
        <f t="shared" si="29"/>
        <v>33940</v>
      </c>
      <c r="L421" s="1541">
        <f t="shared" si="30"/>
        <v>33940</v>
      </c>
      <c r="M421" s="1541">
        <f t="shared" si="31"/>
        <v>0</v>
      </c>
    </row>
    <row r="422" spans="1:13" x14ac:dyDescent="0.3">
      <c r="A422" s="1855" t="s">
        <v>2951</v>
      </c>
      <c r="B422" s="1462"/>
      <c r="C422" s="1456">
        <v>191525</v>
      </c>
      <c r="D422" s="1456">
        <v>191525</v>
      </c>
      <c r="E422" s="1462"/>
      <c r="J422" s="1541">
        <f t="shared" si="28"/>
        <v>0</v>
      </c>
      <c r="K422" s="1541">
        <f t="shared" si="29"/>
        <v>191525</v>
      </c>
      <c r="L422" s="1541">
        <f t="shared" si="30"/>
        <v>191525</v>
      </c>
      <c r="M422" s="1541">
        <f t="shared" si="31"/>
        <v>0</v>
      </c>
    </row>
    <row r="423" spans="1:13" x14ac:dyDescent="0.3">
      <c r="A423" s="1852" t="s">
        <v>2952</v>
      </c>
      <c r="B423" s="1462"/>
      <c r="C423" s="1456">
        <v>2067</v>
      </c>
      <c r="D423" s="1456">
        <v>2067</v>
      </c>
      <c r="E423" s="1462"/>
      <c r="J423" s="1541">
        <f t="shared" si="28"/>
        <v>0</v>
      </c>
      <c r="K423" s="1541">
        <f t="shared" si="29"/>
        <v>2067</v>
      </c>
      <c r="L423" s="1541">
        <f t="shared" si="30"/>
        <v>2067</v>
      </c>
      <c r="M423" s="1541">
        <f t="shared" si="31"/>
        <v>0</v>
      </c>
    </row>
    <row r="424" spans="1:13" x14ac:dyDescent="0.3">
      <c r="A424" s="1855" t="s">
        <v>2953</v>
      </c>
      <c r="B424" s="1462"/>
      <c r="C424" s="1456">
        <v>2366</v>
      </c>
      <c r="D424" s="1456">
        <v>2366</v>
      </c>
      <c r="E424" s="1462"/>
      <c r="J424" s="1541">
        <f t="shared" si="28"/>
        <v>0</v>
      </c>
      <c r="K424" s="1541">
        <f t="shared" si="29"/>
        <v>2366</v>
      </c>
      <c r="L424" s="1541">
        <f t="shared" si="30"/>
        <v>2366</v>
      </c>
      <c r="M424" s="1541">
        <f t="shared" si="31"/>
        <v>0</v>
      </c>
    </row>
    <row r="425" spans="1:13" x14ac:dyDescent="0.3">
      <c r="A425" s="1855" t="s">
        <v>2954</v>
      </c>
      <c r="B425" s="1462"/>
      <c r="C425" s="1456">
        <v>480</v>
      </c>
      <c r="D425" s="1456">
        <v>480</v>
      </c>
      <c r="E425" s="1462"/>
      <c r="J425" s="1541">
        <f t="shared" si="28"/>
        <v>0</v>
      </c>
      <c r="K425" s="1541">
        <f t="shared" si="29"/>
        <v>480</v>
      </c>
      <c r="L425" s="1541">
        <f t="shared" si="30"/>
        <v>480</v>
      </c>
      <c r="M425" s="1541">
        <f t="shared" si="31"/>
        <v>0</v>
      </c>
    </row>
    <row r="426" spans="1:13" x14ac:dyDescent="0.3">
      <c r="A426" s="1852" t="s">
        <v>2955</v>
      </c>
      <c r="B426" s="1462"/>
      <c r="C426" s="1456">
        <v>892</v>
      </c>
      <c r="D426" s="1456">
        <v>892</v>
      </c>
      <c r="E426" s="1462"/>
      <c r="J426" s="1541">
        <f t="shared" si="28"/>
        <v>0</v>
      </c>
      <c r="K426" s="1541">
        <f t="shared" si="29"/>
        <v>892</v>
      </c>
      <c r="L426" s="1541">
        <f t="shared" si="30"/>
        <v>892</v>
      </c>
      <c r="M426" s="1541">
        <f t="shared" si="31"/>
        <v>0</v>
      </c>
    </row>
    <row r="427" spans="1:13" x14ac:dyDescent="0.3">
      <c r="A427" s="1852" t="s">
        <v>2956</v>
      </c>
      <c r="B427" s="1462"/>
      <c r="C427" s="1456">
        <v>166</v>
      </c>
      <c r="D427" s="1456">
        <v>166</v>
      </c>
      <c r="E427" s="1462"/>
      <c r="J427" s="1541">
        <f t="shared" si="28"/>
        <v>0</v>
      </c>
      <c r="K427" s="1541">
        <f t="shared" si="29"/>
        <v>166</v>
      </c>
      <c r="L427" s="1541">
        <f t="shared" si="30"/>
        <v>166</v>
      </c>
      <c r="M427" s="1541">
        <f t="shared" si="31"/>
        <v>0</v>
      </c>
    </row>
    <row r="428" spans="1:13" x14ac:dyDescent="0.3">
      <c r="A428" s="1855" t="s">
        <v>2958</v>
      </c>
      <c r="B428" s="1462"/>
      <c r="C428" s="1456">
        <v>6030</v>
      </c>
      <c r="D428" s="1456">
        <v>6030</v>
      </c>
      <c r="E428" s="1462"/>
      <c r="J428" s="1541">
        <f t="shared" si="28"/>
        <v>0</v>
      </c>
      <c r="K428" s="1541">
        <f t="shared" si="29"/>
        <v>6030</v>
      </c>
      <c r="L428" s="1541">
        <f t="shared" si="30"/>
        <v>6030</v>
      </c>
      <c r="M428" s="1541">
        <f t="shared" si="31"/>
        <v>0</v>
      </c>
    </row>
    <row r="429" spans="1:13" x14ac:dyDescent="0.3">
      <c r="A429" s="1852" t="s">
        <v>2959</v>
      </c>
      <c r="B429" s="1462"/>
      <c r="C429" s="1456">
        <v>1602</v>
      </c>
      <c r="D429" s="1456">
        <v>1602</v>
      </c>
      <c r="E429" s="1462"/>
      <c r="J429" s="1541">
        <f t="shared" si="28"/>
        <v>0</v>
      </c>
      <c r="K429" s="1541">
        <f t="shared" si="29"/>
        <v>1602</v>
      </c>
      <c r="L429" s="1541">
        <f t="shared" si="30"/>
        <v>1602</v>
      </c>
      <c r="M429" s="1541">
        <f t="shared" si="31"/>
        <v>0</v>
      </c>
    </row>
    <row r="430" spans="1:13" x14ac:dyDescent="0.3">
      <c r="A430" s="1852" t="s">
        <v>2960</v>
      </c>
      <c r="B430" s="1462"/>
      <c r="C430" s="1456">
        <v>1030</v>
      </c>
      <c r="D430" s="1456">
        <v>1030</v>
      </c>
      <c r="E430" s="1462"/>
      <c r="J430" s="1541">
        <f t="shared" si="28"/>
        <v>0</v>
      </c>
      <c r="K430" s="1541">
        <f t="shared" si="29"/>
        <v>1030</v>
      </c>
      <c r="L430" s="1541">
        <f t="shared" si="30"/>
        <v>1030</v>
      </c>
      <c r="M430" s="1541">
        <f t="shared" si="31"/>
        <v>0</v>
      </c>
    </row>
    <row r="431" spans="1:13" x14ac:dyDescent="0.3">
      <c r="A431" s="1855" t="s">
        <v>2962</v>
      </c>
      <c r="B431" s="1462"/>
      <c r="C431" s="1456">
        <v>6830</v>
      </c>
      <c r="D431" s="1456">
        <v>6830</v>
      </c>
      <c r="E431" s="1462"/>
      <c r="J431" s="1541">
        <f t="shared" si="28"/>
        <v>0</v>
      </c>
      <c r="K431" s="1541">
        <f t="shared" si="29"/>
        <v>6830</v>
      </c>
      <c r="L431" s="1541">
        <f t="shared" si="30"/>
        <v>6830</v>
      </c>
      <c r="M431" s="1541">
        <f t="shared" si="31"/>
        <v>0</v>
      </c>
    </row>
    <row r="432" spans="1:13" x14ac:dyDescent="0.3">
      <c r="A432" s="1852" t="s">
        <v>2963</v>
      </c>
      <c r="B432" s="1462"/>
      <c r="C432" s="1456">
        <v>306</v>
      </c>
      <c r="D432" s="1456">
        <v>306</v>
      </c>
      <c r="E432" s="1462"/>
      <c r="J432" s="1541">
        <f t="shared" si="28"/>
        <v>0</v>
      </c>
      <c r="K432" s="1541">
        <f t="shared" si="29"/>
        <v>306</v>
      </c>
      <c r="L432" s="1541">
        <f t="shared" si="30"/>
        <v>306</v>
      </c>
      <c r="M432" s="1541">
        <f t="shared" si="31"/>
        <v>0</v>
      </c>
    </row>
    <row r="433" spans="1:13" x14ac:dyDescent="0.3">
      <c r="A433" s="1855" t="s">
        <v>2964</v>
      </c>
      <c r="B433" s="1462"/>
      <c r="C433" s="1456">
        <v>3506</v>
      </c>
      <c r="D433" s="1456">
        <v>3506</v>
      </c>
      <c r="E433" s="1462"/>
      <c r="J433" s="1541">
        <f t="shared" si="28"/>
        <v>0</v>
      </c>
      <c r="K433" s="1541">
        <f t="shared" si="29"/>
        <v>3506</v>
      </c>
      <c r="L433" s="1541">
        <f t="shared" si="30"/>
        <v>3506</v>
      </c>
      <c r="M433" s="1541">
        <f t="shared" si="31"/>
        <v>0</v>
      </c>
    </row>
    <row r="434" spans="1:13" x14ac:dyDescent="0.3">
      <c r="A434" s="1852" t="s">
        <v>2965</v>
      </c>
      <c r="B434" s="1462"/>
      <c r="C434" s="1456">
        <v>7864</v>
      </c>
      <c r="D434" s="1456">
        <v>7864</v>
      </c>
      <c r="E434" s="1462"/>
      <c r="J434" s="1541">
        <f t="shared" si="28"/>
        <v>0</v>
      </c>
      <c r="K434" s="1541">
        <f t="shared" si="29"/>
        <v>7864</v>
      </c>
      <c r="L434" s="1541">
        <f t="shared" si="30"/>
        <v>7864</v>
      </c>
      <c r="M434" s="1541">
        <f t="shared" si="31"/>
        <v>0</v>
      </c>
    </row>
    <row r="435" spans="1:13" x14ac:dyDescent="0.3">
      <c r="A435" s="1852" t="s">
        <v>2966</v>
      </c>
      <c r="B435" s="1462"/>
      <c r="C435" s="1456">
        <v>540</v>
      </c>
      <c r="D435" s="1456">
        <v>540</v>
      </c>
      <c r="E435" s="1462"/>
      <c r="J435" s="1541">
        <f t="shared" si="28"/>
        <v>0</v>
      </c>
      <c r="K435" s="1541">
        <f t="shared" si="29"/>
        <v>540</v>
      </c>
      <c r="L435" s="1541">
        <f t="shared" si="30"/>
        <v>540</v>
      </c>
      <c r="M435" s="1541">
        <f t="shared" si="31"/>
        <v>0</v>
      </c>
    </row>
    <row r="436" spans="1:13" x14ac:dyDescent="0.3">
      <c r="A436" s="1852" t="s">
        <v>2967</v>
      </c>
      <c r="B436" s="1462"/>
      <c r="C436" s="1456">
        <v>7470</v>
      </c>
      <c r="D436" s="1456">
        <v>7470</v>
      </c>
      <c r="E436" s="1462"/>
      <c r="J436" s="1541">
        <f t="shared" si="28"/>
        <v>0</v>
      </c>
      <c r="K436" s="1541">
        <f t="shared" si="29"/>
        <v>7470</v>
      </c>
      <c r="L436" s="1541">
        <f t="shared" si="30"/>
        <v>7470</v>
      </c>
      <c r="M436" s="1541">
        <f t="shared" si="31"/>
        <v>0</v>
      </c>
    </row>
    <row r="437" spans="1:13" x14ac:dyDescent="0.3">
      <c r="A437" s="1852" t="s">
        <v>2968</v>
      </c>
      <c r="B437" s="1462"/>
      <c r="C437" s="1456">
        <v>13188</v>
      </c>
      <c r="D437" s="1456">
        <v>13188</v>
      </c>
      <c r="E437" s="1462"/>
      <c r="J437" s="1541">
        <f t="shared" si="28"/>
        <v>0</v>
      </c>
      <c r="K437" s="1541">
        <f t="shared" si="29"/>
        <v>13188</v>
      </c>
      <c r="L437" s="1541">
        <f t="shared" si="30"/>
        <v>13188</v>
      </c>
      <c r="M437" s="1541">
        <f t="shared" si="31"/>
        <v>0</v>
      </c>
    </row>
    <row r="438" spans="1:13" x14ac:dyDescent="0.3">
      <c r="A438" s="1852" t="s">
        <v>2969</v>
      </c>
      <c r="B438" s="1462"/>
      <c r="C438" s="1456">
        <v>780</v>
      </c>
      <c r="D438" s="1456">
        <v>780</v>
      </c>
      <c r="E438" s="1462"/>
      <c r="J438" s="1541">
        <f t="shared" si="28"/>
        <v>0</v>
      </c>
      <c r="K438" s="1541">
        <f t="shared" si="29"/>
        <v>780</v>
      </c>
      <c r="L438" s="1541">
        <f t="shared" si="30"/>
        <v>780</v>
      </c>
      <c r="M438" s="1541">
        <f t="shared" si="31"/>
        <v>0</v>
      </c>
    </row>
    <row r="439" spans="1:13" x14ac:dyDescent="0.3">
      <c r="A439" s="1855" t="s">
        <v>2970</v>
      </c>
      <c r="B439" s="1462"/>
      <c r="C439" s="1456">
        <v>5602</v>
      </c>
      <c r="D439" s="1456">
        <v>5602</v>
      </c>
      <c r="E439" s="1462"/>
      <c r="J439" s="1541">
        <f t="shared" si="28"/>
        <v>0</v>
      </c>
      <c r="K439" s="1541">
        <f t="shared" si="29"/>
        <v>5602</v>
      </c>
      <c r="L439" s="1541">
        <f t="shared" si="30"/>
        <v>5602</v>
      </c>
      <c r="M439" s="1541">
        <f t="shared" si="31"/>
        <v>0</v>
      </c>
    </row>
    <row r="440" spans="1:13" x14ac:dyDescent="0.3">
      <c r="A440" s="1852" t="s">
        <v>2971</v>
      </c>
      <c r="B440" s="1462"/>
      <c r="C440" s="1456">
        <v>1000</v>
      </c>
      <c r="D440" s="1456">
        <v>1000</v>
      </c>
      <c r="E440" s="1462"/>
      <c r="J440" s="1541">
        <f t="shared" si="28"/>
        <v>0</v>
      </c>
      <c r="K440" s="1541">
        <f t="shared" si="29"/>
        <v>1000</v>
      </c>
      <c r="L440" s="1541">
        <f t="shared" si="30"/>
        <v>1000</v>
      </c>
      <c r="M440" s="1541">
        <f t="shared" si="31"/>
        <v>0</v>
      </c>
    </row>
    <row r="441" spans="1:13" x14ac:dyDescent="0.3">
      <c r="A441" s="1855" t="s">
        <v>2972</v>
      </c>
      <c r="B441" s="1462"/>
      <c r="C441" s="1456">
        <v>1146</v>
      </c>
      <c r="D441" s="1456">
        <v>1146</v>
      </c>
      <c r="E441" s="1462"/>
      <c r="J441" s="1541">
        <f t="shared" si="28"/>
        <v>0</v>
      </c>
      <c r="K441" s="1541">
        <f t="shared" si="29"/>
        <v>1146</v>
      </c>
      <c r="L441" s="1541">
        <f t="shared" si="30"/>
        <v>1146</v>
      </c>
      <c r="M441" s="1541">
        <f t="shared" si="31"/>
        <v>0</v>
      </c>
    </row>
    <row r="442" spans="1:13" x14ac:dyDescent="0.3">
      <c r="A442" s="1852" t="s">
        <v>2973</v>
      </c>
      <c r="B442" s="1462"/>
      <c r="C442" s="1456">
        <v>2030</v>
      </c>
      <c r="D442" s="1456">
        <v>2030</v>
      </c>
      <c r="E442" s="1462"/>
      <c r="J442" s="1541">
        <f t="shared" si="28"/>
        <v>0</v>
      </c>
      <c r="K442" s="1541">
        <f t="shared" si="29"/>
        <v>2030</v>
      </c>
      <c r="L442" s="1541">
        <f t="shared" si="30"/>
        <v>2030</v>
      </c>
      <c r="M442" s="1541">
        <f t="shared" si="31"/>
        <v>0</v>
      </c>
    </row>
    <row r="443" spans="1:13" x14ac:dyDescent="0.3">
      <c r="A443" s="1852" t="s">
        <v>2974</v>
      </c>
      <c r="B443" s="1462"/>
      <c r="C443" s="1456">
        <v>24100</v>
      </c>
      <c r="D443" s="1456">
        <v>24100</v>
      </c>
      <c r="E443" s="1462"/>
      <c r="J443" s="1541">
        <f t="shared" si="28"/>
        <v>0</v>
      </c>
      <c r="K443" s="1541">
        <f t="shared" si="29"/>
        <v>24100</v>
      </c>
      <c r="L443" s="1541">
        <f t="shared" si="30"/>
        <v>24100</v>
      </c>
      <c r="M443" s="1541">
        <f t="shared" si="31"/>
        <v>0</v>
      </c>
    </row>
    <row r="444" spans="1:13" x14ac:dyDescent="0.3">
      <c r="A444" s="1852" t="s">
        <v>2975</v>
      </c>
      <c r="B444" s="1462"/>
      <c r="C444" s="1456">
        <v>2640</v>
      </c>
      <c r="D444" s="1456">
        <v>2640</v>
      </c>
      <c r="E444" s="1462"/>
      <c r="J444" s="1541">
        <f t="shared" si="28"/>
        <v>0</v>
      </c>
      <c r="K444" s="1541">
        <f t="shared" si="29"/>
        <v>2640</v>
      </c>
      <c r="L444" s="1541">
        <f t="shared" si="30"/>
        <v>2640</v>
      </c>
      <c r="M444" s="1541">
        <f t="shared" si="31"/>
        <v>0</v>
      </c>
    </row>
    <row r="445" spans="1:13" x14ac:dyDescent="0.3">
      <c r="A445" s="1855" t="s">
        <v>2976</v>
      </c>
      <c r="B445" s="1462"/>
      <c r="C445" s="1456">
        <v>310</v>
      </c>
      <c r="D445" s="1456">
        <v>310</v>
      </c>
      <c r="E445" s="1462"/>
      <c r="J445" s="1541">
        <f t="shared" si="28"/>
        <v>0</v>
      </c>
      <c r="K445" s="1541">
        <f t="shared" si="29"/>
        <v>310</v>
      </c>
      <c r="L445" s="1541">
        <f t="shared" si="30"/>
        <v>310</v>
      </c>
      <c r="M445" s="1541">
        <f t="shared" si="31"/>
        <v>0</v>
      </c>
    </row>
    <row r="446" spans="1:13" x14ac:dyDescent="0.3">
      <c r="A446" s="1855" t="s">
        <v>2977</v>
      </c>
      <c r="B446" s="1462"/>
      <c r="C446" s="1456">
        <v>25400</v>
      </c>
      <c r="D446" s="1456">
        <v>25400</v>
      </c>
      <c r="E446" s="1462"/>
      <c r="J446" s="1541">
        <f t="shared" si="28"/>
        <v>0</v>
      </c>
      <c r="K446" s="1541">
        <f t="shared" si="29"/>
        <v>25400</v>
      </c>
      <c r="L446" s="1541">
        <f t="shared" si="30"/>
        <v>25400</v>
      </c>
      <c r="M446" s="1541">
        <f t="shared" si="31"/>
        <v>0</v>
      </c>
    </row>
    <row r="447" spans="1:13" x14ac:dyDescent="0.3">
      <c r="A447" s="1855" t="s">
        <v>2980</v>
      </c>
      <c r="B447" s="1462"/>
      <c r="C447" s="1456">
        <v>200</v>
      </c>
      <c r="D447" s="1456">
        <v>200</v>
      </c>
      <c r="E447" s="1462"/>
      <c r="J447" s="1541">
        <f t="shared" si="28"/>
        <v>0</v>
      </c>
      <c r="K447" s="1541">
        <f t="shared" si="29"/>
        <v>200</v>
      </c>
      <c r="L447" s="1541">
        <f t="shared" si="30"/>
        <v>200</v>
      </c>
      <c r="M447" s="1541">
        <f t="shared" si="31"/>
        <v>0</v>
      </c>
    </row>
    <row r="448" spans="1:13" x14ac:dyDescent="0.3">
      <c r="A448" s="1852" t="s">
        <v>2981</v>
      </c>
      <c r="B448" s="1462"/>
      <c r="C448" s="1456">
        <v>470</v>
      </c>
      <c r="D448" s="1456">
        <v>470</v>
      </c>
      <c r="E448" s="1462"/>
      <c r="J448" s="1541">
        <f t="shared" si="28"/>
        <v>0</v>
      </c>
      <c r="K448" s="1541">
        <f t="shared" si="29"/>
        <v>470</v>
      </c>
      <c r="L448" s="1541">
        <f t="shared" si="30"/>
        <v>470</v>
      </c>
      <c r="M448" s="1541">
        <f t="shared" si="31"/>
        <v>0</v>
      </c>
    </row>
    <row r="449" spans="1:13" x14ac:dyDescent="0.3">
      <c r="A449" s="1855" t="s">
        <v>2982</v>
      </c>
      <c r="B449" s="1462"/>
      <c r="C449" s="1456">
        <v>200</v>
      </c>
      <c r="D449" s="1456">
        <v>200</v>
      </c>
      <c r="E449" s="1462"/>
      <c r="J449" s="1541">
        <f t="shared" si="28"/>
        <v>0</v>
      </c>
      <c r="K449" s="1541">
        <f t="shared" si="29"/>
        <v>200</v>
      </c>
      <c r="L449" s="1541">
        <f t="shared" si="30"/>
        <v>200</v>
      </c>
      <c r="M449" s="1541">
        <f t="shared" si="31"/>
        <v>0</v>
      </c>
    </row>
    <row r="450" spans="1:13" x14ac:dyDescent="0.3">
      <c r="A450" s="1855" t="s">
        <v>2983</v>
      </c>
      <c r="B450" s="1462"/>
      <c r="C450" s="1456">
        <v>1050</v>
      </c>
      <c r="D450" s="1456">
        <v>1050</v>
      </c>
      <c r="E450" s="1462"/>
      <c r="J450" s="1541">
        <f t="shared" si="28"/>
        <v>0</v>
      </c>
      <c r="K450" s="1541">
        <f t="shared" si="29"/>
        <v>1050</v>
      </c>
      <c r="L450" s="1541">
        <f t="shared" si="30"/>
        <v>1050</v>
      </c>
      <c r="M450" s="1541">
        <f t="shared" si="31"/>
        <v>0</v>
      </c>
    </row>
    <row r="451" spans="1:13" x14ac:dyDescent="0.3">
      <c r="A451" s="1852" t="s">
        <v>2984</v>
      </c>
      <c r="B451" s="1462"/>
      <c r="C451" s="1456">
        <v>3430</v>
      </c>
      <c r="D451" s="1456">
        <v>3430</v>
      </c>
      <c r="E451" s="1462"/>
      <c r="J451" s="1541">
        <f t="shared" si="28"/>
        <v>0</v>
      </c>
      <c r="K451" s="1541">
        <f t="shared" si="29"/>
        <v>3430</v>
      </c>
      <c r="L451" s="1541">
        <f t="shared" si="30"/>
        <v>3430</v>
      </c>
      <c r="M451" s="1541">
        <f t="shared" si="31"/>
        <v>0</v>
      </c>
    </row>
    <row r="452" spans="1:13" x14ac:dyDescent="0.3">
      <c r="A452" s="1852" t="s">
        <v>2985</v>
      </c>
      <c r="B452" s="1462"/>
      <c r="C452" s="1456">
        <v>1342</v>
      </c>
      <c r="D452" s="1456">
        <v>1342</v>
      </c>
      <c r="E452" s="1462"/>
      <c r="J452" s="1541">
        <f t="shared" si="28"/>
        <v>0</v>
      </c>
      <c r="K452" s="1541">
        <f t="shared" si="29"/>
        <v>1342</v>
      </c>
      <c r="L452" s="1541">
        <f t="shared" si="30"/>
        <v>1342</v>
      </c>
      <c r="M452" s="1541">
        <f t="shared" si="31"/>
        <v>0</v>
      </c>
    </row>
    <row r="453" spans="1:13" x14ac:dyDescent="0.3">
      <c r="A453" s="1852" t="s">
        <v>2986</v>
      </c>
      <c r="B453" s="1462"/>
      <c r="C453" s="1456">
        <v>932</v>
      </c>
      <c r="D453" s="1456">
        <v>932</v>
      </c>
      <c r="E453" s="1462"/>
      <c r="J453" s="1541">
        <f t="shared" si="28"/>
        <v>0</v>
      </c>
      <c r="K453" s="1541">
        <f t="shared" si="29"/>
        <v>932</v>
      </c>
      <c r="L453" s="1541">
        <f t="shared" si="30"/>
        <v>932</v>
      </c>
      <c r="M453" s="1541">
        <f t="shared" si="31"/>
        <v>0</v>
      </c>
    </row>
    <row r="454" spans="1:13" x14ac:dyDescent="0.3">
      <c r="A454" s="1852" t="s">
        <v>2987</v>
      </c>
      <c r="B454" s="1462"/>
      <c r="C454" s="1456">
        <v>2240</v>
      </c>
      <c r="D454" s="1456">
        <v>2240</v>
      </c>
      <c r="E454" s="1462"/>
      <c r="J454" s="1541">
        <f t="shared" si="28"/>
        <v>0</v>
      </c>
      <c r="K454" s="1541">
        <f t="shared" si="29"/>
        <v>2240</v>
      </c>
      <c r="L454" s="1541">
        <f t="shared" si="30"/>
        <v>2240</v>
      </c>
      <c r="M454" s="1541">
        <f t="shared" si="31"/>
        <v>0</v>
      </c>
    </row>
    <row r="455" spans="1:13" x14ac:dyDescent="0.3">
      <c r="A455" s="1852" t="s">
        <v>2988</v>
      </c>
      <c r="B455" s="1462"/>
      <c r="C455" s="1456">
        <v>1730</v>
      </c>
      <c r="D455" s="1456">
        <v>1730</v>
      </c>
      <c r="E455" s="1462"/>
      <c r="J455" s="1541">
        <f t="shared" si="28"/>
        <v>0</v>
      </c>
      <c r="K455" s="1541">
        <f t="shared" si="29"/>
        <v>1730</v>
      </c>
      <c r="L455" s="1541">
        <f t="shared" si="30"/>
        <v>1730</v>
      </c>
      <c r="M455" s="1541">
        <f t="shared" si="31"/>
        <v>0</v>
      </c>
    </row>
    <row r="456" spans="1:13" x14ac:dyDescent="0.3">
      <c r="A456" s="1852" t="s">
        <v>2989</v>
      </c>
      <c r="B456" s="1462"/>
      <c r="C456" s="1456">
        <v>2410</v>
      </c>
      <c r="D456" s="1456">
        <v>2410</v>
      </c>
      <c r="E456" s="1462"/>
      <c r="J456" s="1541">
        <f t="shared" si="28"/>
        <v>0</v>
      </c>
      <c r="K456" s="1541">
        <f t="shared" si="29"/>
        <v>2410</v>
      </c>
      <c r="L456" s="1541">
        <f t="shared" si="30"/>
        <v>2410</v>
      </c>
      <c r="M456" s="1541">
        <f t="shared" si="31"/>
        <v>0</v>
      </c>
    </row>
    <row r="457" spans="1:13" x14ac:dyDescent="0.3">
      <c r="A457" s="1852" t="s">
        <v>2990</v>
      </c>
      <c r="B457" s="1462"/>
      <c r="C457" s="1456">
        <v>600</v>
      </c>
      <c r="D457" s="1456">
        <v>600</v>
      </c>
      <c r="E457" s="1462"/>
      <c r="J457" s="1541">
        <f t="shared" si="28"/>
        <v>0</v>
      </c>
      <c r="K457" s="1541">
        <f t="shared" si="29"/>
        <v>600</v>
      </c>
      <c r="L457" s="1541">
        <f t="shared" si="30"/>
        <v>600</v>
      </c>
      <c r="M457" s="1541">
        <f t="shared" si="31"/>
        <v>0</v>
      </c>
    </row>
    <row r="458" spans="1:13" x14ac:dyDescent="0.3">
      <c r="A458" s="1852" t="s">
        <v>2991</v>
      </c>
      <c r="B458" s="1462"/>
      <c r="C458" s="1456">
        <v>2026</v>
      </c>
      <c r="D458" s="1456">
        <v>2026</v>
      </c>
      <c r="E458" s="1462"/>
      <c r="J458" s="1541">
        <f t="shared" si="28"/>
        <v>0</v>
      </c>
      <c r="K458" s="1541">
        <f t="shared" si="29"/>
        <v>2026</v>
      </c>
      <c r="L458" s="1541">
        <f t="shared" si="30"/>
        <v>2026</v>
      </c>
      <c r="M458" s="1541">
        <f t="shared" si="31"/>
        <v>0</v>
      </c>
    </row>
    <row r="459" spans="1:13" x14ac:dyDescent="0.3">
      <c r="A459" s="1852" t="s">
        <v>2993</v>
      </c>
      <c r="B459" s="1462"/>
      <c r="C459" s="1456">
        <v>140</v>
      </c>
      <c r="D459" s="1456">
        <v>140</v>
      </c>
      <c r="E459" s="1462"/>
      <c r="J459" s="1541">
        <f t="shared" si="28"/>
        <v>0</v>
      </c>
      <c r="K459" s="1541">
        <f t="shared" si="29"/>
        <v>140</v>
      </c>
      <c r="L459" s="1541">
        <f t="shared" si="30"/>
        <v>140</v>
      </c>
      <c r="M459" s="1541">
        <f t="shared" si="31"/>
        <v>0</v>
      </c>
    </row>
    <row r="460" spans="1:13" x14ac:dyDescent="0.3">
      <c r="A460" s="1855" t="s">
        <v>2995</v>
      </c>
      <c r="B460" s="1462"/>
      <c r="C460" s="1456">
        <v>1904</v>
      </c>
      <c r="D460" s="1456">
        <v>1904</v>
      </c>
      <c r="E460" s="1462"/>
      <c r="J460" s="1541">
        <f t="shared" si="28"/>
        <v>0</v>
      </c>
      <c r="K460" s="1541">
        <f t="shared" si="29"/>
        <v>1904</v>
      </c>
      <c r="L460" s="1541">
        <f t="shared" si="30"/>
        <v>1904</v>
      </c>
      <c r="M460" s="1541">
        <f t="shared" si="31"/>
        <v>0</v>
      </c>
    </row>
    <row r="461" spans="1:13" x14ac:dyDescent="0.3">
      <c r="A461" s="1852" t="s">
        <v>2996</v>
      </c>
      <c r="B461" s="1462"/>
      <c r="C461" s="1456">
        <v>356</v>
      </c>
      <c r="D461" s="1456">
        <v>356</v>
      </c>
      <c r="E461" s="1462"/>
      <c r="J461" s="1541">
        <f t="shared" si="28"/>
        <v>0</v>
      </c>
      <c r="K461" s="1541">
        <f t="shared" si="29"/>
        <v>356</v>
      </c>
      <c r="L461" s="1541">
        <f t="shared" si="30"/>
        <v>356</v>
      </c>
      <c r="M461" s="1541">
        <f t="shared" si="31"/>
        <v>0</v>
      </c>
    </row>
    <row r="462" spans="1:13" x14ac:dyDescent="0.3">
      <c r="A462" s="1855" t="s">
        <v>2997</v>
      </c>
      <c r="B462" s="1462"/>
      <c r="C462" s="1456">
        <v>1040</v>
      </c>
      <c r="D462" s="1456">
        <v>1040</v>
      </c>
      <c r="E462" s="1462"/>
      <c r="J462" s="1541">
        <f t="shared" si="28"/>
        <v>0</v>
      </c>
      <c r="K462" s="1541">
        <f t="shared" si="29"/>
        <v>1040</v>
      </c>
      <c r="L462" s="1541">
        <f t="shared" si="30"/>
        <v>1040</v>
      </c>
      <c r="M462" s="1541">
        <f t="shared" si="31"/>
        <v>0</v>
      </c>
    </row>
    <row r="463" spans="1:13" x14ac:dyDescent="0.3">
      <c r="A463" s="1852" t="s">
        <v>2998</v>
      </c>
      <c r="B463" s="1462"/>
      <c r="C463" s="1456">
        <v>1084</v>
      </c>
      <c r="D463" s="1456">
        <v>1084</v>
      </c>
      <c r="E463" s="1462"/>
      <c r="J463" s="1541">
        <f t="shared" si="28"/>
        <v>0</v>
      </c>
      <c r="K463" s="1541">
        <f t="shared" si="29"/>
        <v>1084</v>
      </c>
      <c r="L463" s="1541">
        <f t="shared" si="30"/>
        <v>1084</v>
      </c>
      <c r="M463" s="1541">
        <f t="shared" si="31"/>
        <v>0</v>
      </c>
    </row>
    <row r="464" spans="1:13" x14ac:dyDescent="0.3">
      <c r="A464" s="1855" t="s">
        <v>2999</v>
      </c>
      <c r="B464" s="1462"/>
      <c r="C464" s="1456">
        <v>140</v>
      </c>
      <c r="D464" s="1456">
        <v>140</v>
      </c>
      <c r="E464" s="1462"/>
      <c r="J464" s="1541">
        <f t="shared" si="28"/>
        <v>0</v>
      </c>
      <c r="K464" s="1541">
        <f t="shared" si="29"/>
        <v>140</v>
      </c>
      <c r="L464" s="1541">
        <f t="shared" si="30"/>
        <v>140</v>
      </c>
      <c r="M464" s="1541">
        <f t="shared" si="31"/>
        <v>0</v>
      </c>
    </row>
    <row r="465" spans="1:13" x14ac:dyDescent="0.3">
      <c r="A465" s="1855" t="s">
        <v>3000</v>
      </c>
      <c r="B465" s="1462"/>
      <c r="C465" s="1456">
        <v>2692</v>
      </c>
      <c r="D465" s="1456">
        <v>2692</v>
      </c>
      <c r="E465" s="1462"/>
      <c r="J465" s="1541">
        <f t="shared" si="28"/>
        <v>0</v>
      </c>
      <c r="K465" s="1541">
        <f t="shared" si="29"/>
        <v>2692</v>
      </c>
      <c r="L465" s="1541">
        <f t="shared" si="30"/>
        <v>2692</v>
      </c>
      <c r="M465" s="1541">
        <f t="shared" si="31"/>
        <v>0</v>
      </c>
    </row>
    <row r="466" spans="1:13" x14ac:dyDescent="0.3">
      <c r="A466" s="1852" t="s">
        <v>3001</v>
      </c>
      <c r="B466" s="1462"/>
      <c r="C466" s="1456">
        <v>4672</v>
      </c>
      <c r="D466" s="1456">
        <v>4672</v>
      </c>
      <c r="E466" s="1462"/>
      <c r="J466" s="1541">
        <f t="shared" si="28"/>
        <v>0</v>
      </c>
      <c r="K466" s="1541">
        <f t="shared" si="29"/>
        <v>4672</v>
      </c>
      <c r="L466" s="1541">
        <f t="shared" si="30"/>
        <v>4672</v>
      </c>
      <c r="M466" s="1541">
        <f t="shared" si="31"/>
        <v>0</v>
      </c>
    </row>
    <row r="467" spans="1:13" x14ac:dyDescent="0.3">
      <c r="A467" s="1855" t="s">
        <v>3002</v>
      </c>
      <c r="B467" s="1462"/>
      <c r="C467" s="1456">
        <v>8896</v>
      </c>
      <c r="D467" s="1456">
        <v>8896</v>
      </c>
      <c r="E467" s="1462"/>
      <c r="J467" s="1541">
        <f t="shared" si="28"/>
        <v>0</v>
      </c>
      <c r="K467" s="1541">
        <f t="shared" si="29"/>
        <v>8896</v>
      </c>
      <c r="L467" s="1541">
        <f t="shared" si="30"/>
        <v>8896</v>
      </c>
      <c r="M467" s="1541">
        <f t="shared" si="31"/>
        <v>0</v>
      </c>
    </row>
    <row r="468" spans="1:13" x14ac:dyDescent="0.3">
      <c r="A468" s="1852" t="s">
        <v>3003</v>
      </c>
      <c r="B468" s="1462"/>
      <c r="C468" s="1456">
        <v>14077</v>
      </c>
      <c r="D468" s="1456">
        <v>14077</v>
      </c>
      <c r="E468" s="1462"/>
      <c r="J468" s="1541">
        <f t="shared" si="28"/>
        <v>0</v>
      </c>
      <c r="K468" s="1541">
        <f t="shared" si="29"/>
        <v>14077</v>
      </c>
      <c r="L468" s="1541">
        <f t="shared" si="30"/>
        <v>14077</v>
      </c>
      <c r="M468" s="1541">
        <f t="shared" si="31"/>
        <v>0</v>
      </c>
    </row>
    <row r="469" spans="1:13" x14ac:dyDescent="0.3">
      <c r="A469" s="1852" t="s">
        <v>3004</v>
      </c>
      <c r="B469" s="1462"/>
      <c r="C469" s="1456">
        <v>140</v>
      </c>
      <c r="D469" s="1456">
        <v>140</v>
      </c>
      <c r="E469" s="1462"/>
      <c r="J469" s="1541">
        <f t="shared" si="28"/>
        <v>0</v>
      </c>
      <c r="K469" s="1541">
        <f t="shared" si="29"/>
        <v>140</v>
      </c>
      <c r="L469" s="1541">
        <f t="shared" si="30"/>
        <v>140</v>
      </c>
      <c r="M469" s="1541">
        <f t="shared" si="31"/>
        <v>0</v>
      </c>
    </row>
    <row r="470" spans="1:13" x14ac:dyDescent="0.3">
      <c r="A470" s="1852" t="s">
        <v>3005</v>
      </c>
      <c r="B470" s="1462"/>
      <c r="C470" s="1456">
        <v>446</v>
      </c>
      <c r="D470" s="1456">
        <v>446</v>
      </c>
      <c r="E470" s="1462"/>
      <c r="J470" s="1541">
        <f t="shared" si="28"/>
        <v>0</v>
      </c>
      <c r="K470" s="1541">
        <f t="shared" si="29"/>
        <v>446</v>
      </c>
      <c r="L470" s="1541">
        <f t="shared" si="30"/>
        <v>446</v>
      </c>
      <c r="M470" s="1541">
        <f t="shared" si="31"/>
        <v>0</v>
      </c>
    </row>
    <row r="471" spans="1:13" x14ac:dyDescent="0.3">
      <c r="A471" s="1852" t="s">
        <v>3006</v>
      </c>
      <c r="B471" s="1462"/>
      <c r="C471" s="1456">
        <v>340</v>
      </c>
      <c r="D471" s="1456">
        <v>340</v>
      </c>
      <c r="E471" s="1462"/>
      <c r="J471" s="1541">
        <f t="shared" si="28"/>
        <v>0</v>
      </c>
      <c r="K471" s="1541">
        <f t="shared" si="29"/>
        <v>340</v>
      </c>
      <c r="L471" s="1541">
        <f t="shared" si="30"/>
        <v>340</v>
      </c>
      <c r="M471" s="1541">
        <f t="shared" si="31"/>
        <v>0</v>
      </c>
    </row>
    <row r="472" spans="1:13" x14ac:dyDescent="0.3">
      <c r="A472" s="1852" t="s">
        <v>3007</v>
      </c>
      <c r="B472" s="1462"/>
      <c r="C472" s="1456">
        <v>380</v>
      </c>
      <c r="D472" s="1456">
        <v>380</v>
      </c>
      <c r="E472" s="1462"/>
      <c r="J472" s="1541">
        <f t="shared" si="28"/>
        <v>0</v>
      </c>
      <c r="K472" s="1541">
        <f t="shared" si="29"/>
        <v>380</v>
      </c>
      <c r="L472" s="1541">
        <f t="shared" si="30"/>
        <v>380</v>
      </c>
      <c r="M472" s="1541">
        <f t="shared" si="31"/>
        <v>0</v>
      </c>
    </row>
    <row r="473" spans="1:13" x14ac:dyDescent="0.3">
      <c r="A473" s="1852" t="s">
        <v>3008</v>
      </c>
      <c r="B473" s="1462"/>
      <c r="C473" s="1456">
        <v>210</v>
      </c>
      <c r="D473" s="1456">
        <v>210</v>
      </c>
      <c r="E473" s="1462"/>
      <c r="J473" s="1541">
        <f t="shared" si="28"/>
        <v>0</v>
      </c>
      <c r="K473" s="1541">
        <f t="shared" si="29"/>
        <v>210</v>
      </c>
      <c r="L473" s="1541">
        <f t="shared" si="30"/>
        <v>210</v>
      </c>
      <c r="M473" s="1541">
        <f t="shared" si="31"/>
        <v>0</v>
      </c>
    </row>
    <row r="474" spans="1:13" x14ac:dyDescent="0.3">
      <c r="A474" s="1852" t="s">
        <v>3011</v>
      </c>
      <c r="B474" s="1462"/>
      <c r="C474" s="1456">
        <v>4010</v>
      </c>
      <c r="D474" s="1456">
        <v>4010</v>
      </c>
      <c r="E474" s="1462"/>
      <c r="J474" s="1541">
        <f t="shared" si="28"/>
        <v>0</v>
      </c>
      <c r="K474" s="1541">
        <f t="shared" si="29"/>
        <v>4010</v>
      </c>
      <c r="L474" s="1541">
        <f t="shared" si="30"/>
        <v>4010</v>
      </c>
      <c r="M474" s="1541">
        <f t="shared" si="31"/>
        <v>0</v>
      </c>
    </row>
    <row r="475" spans="1:13" x14ac:dyDescent="0.3">
      <c r="A475" s="1852" t="s">
        <v>3012</v>
      </c>
      <c r="B475" s="1462"/>
      <c r="C475" s="1456">
        <v>5621</v>
      </c>
      <c r="D475" s="1456">
        <v>5621</v>
      </c>
      <c r="E475" s="1462"/>
      <c r="J475" s="1541">
        <f t="shared" si="28"/>
        <v>0</v>
      </c>
      <c r="K475" s="1541">
        <f t="shared" si="29"/>
        <v>5621</v>
      </c>
      <c r="L475" s="1541">
        <f t="shared" si="30"/>
        <v>5621</v>
      </c>
      <c r="M475" s="1541">
        <f t="shared" si="31"/>
        <v>0</v>
      </c>
    </row>
    <row r="476" spans="1:13" x14ac:dyDescent="0.3">
      <c r="A476" s="1852" t="s">
        <v>3014</v>
      </c>
      <c r="B476" s="1462"/>
      <c r="C476" s="1456">
        <v>28790</v>
      </c>
      <c r="D476" s="1456">
        <v>28790</v>
      </c>
      <c r="E476" s="1462"/>
      <c r="J476" s="1541">
        <f t="shared" si="28"/>
        <v>0</v>
      </c>
      <c r="K476" s="1541">
        <f t="shared" si="29"/>
        <v>28790</v>
      </c>
      <c r="L476" s="1541">
        <f t="shared" si="30"/>
        <v>28790</v>
      </c>
      <c r="M476" s="1541">
        <f t="shared" si="31"/>
        <v>0</v>
      </c>
    </row>
    <row r="477" spans="1:13" x14ac:dyDescent="0.3">
      <c r="A477" s="1852" t="s">
        <v>3017</v>
      </c>
      <c r="B477" s="1462"/>
      <c r="C477" s="1456">
        <v>280</v>
      </c>
      <c r="D477" s="1456">
        <v>280</v>
      </c>
      <c r="E477" s="1462"/>
      <c r="J477" s="1541">
        <f t="shared" si="28"/>
        <v>0</v>
      </c>
      <c r="K477" s="1541">
        <f t="shared" si="29"/>
        <v>280</v>
      </c>
      <c r="L477" s="1541">
        <f t="shared" si="30"/>
        <v>280</v>
      </c>
      <c r="M477" s="1541">
        <f t="shared" si="31"/>
        <v>0</v>
      </c>
    </row>
    <row r="478" spans="1:13" x14ac:dyDescent="0.3">
      <c r="A478" s="1852" t="s">
        <v>3018</v>
      </c>
      <c r="B478" s="1462"/>
      <c r="C478" s="1456">
        <v>37685</v>
      </c>
      <c r="D478" s="1456">
        <v>37685</v>
      </c>
      <c r="E478" s="1462"/>
      <c r="J478" s="1541">
        <f t="shared" si="28"/>
        <v>0</v>
      </c>
      <c r="K478" s="1541">
        <f t="shared" si="29"/>
        <v>37685</v>
      </c>
      <c r="L478" s="1541">
        <f t="shared" si="30"/>
        <v>37685</v>
      </c>
      <c r="M478" s="1541">
        <f t="shared" si="31"/>
        <v>0</v>
      </c>
    </row>
    <row r="479" spans="1:13" x14ac:dyDescent="0.3">
      <c r="A479" s="1852" t="s">
        <v>3020</v>
      </c>
      <c r="B479" s="1462"/>
      <c r="C479" s="1456">
        <v>260</v>
      </c>
      <c r="D479" s="1456">
        <v>260</v>
      </c>
      <c r="E479" s="1462"/>
      <c r="J479" s="1541">
        <f t="shared" si="28"/>
        <v>0</v>
      </c>
      <c r="K479" s="1541">
        <f t="shared" si="29"/>
        <v>260</v>
      </c>
      <c r="L479" s="1541">
        <f t="shared" si="30"/>
        <v>260</v>
      </c>
      <c r="M479" s="1541">
        <f t="shared" si="31"/>
        <v>0</v>
      </c>
    </row>
    <row r="480" spans="1:13" x14ac:dyDescent="0.3">
      <c r="A480" s="1852" t="s">
        <v>3022</v>
      </c>
      <c r="B480" s="1462"/>
      <c r="C480" s="1456">
        <v>10346</v>
      </c>
      <c r="D480" s="1456">
        <v>10346</v>
      </c>
      <c r="E480" s="1462"/>
      <c r="J480" s="1541">
        <f t="shared" si="28"/>
        <v>0</v>
      </c>
      <c r="K480" s="1541">
        <f t="shared" si="29"/>
        <v>10346</v>
      </c>
      <c r="L480" s="1541">
        <f t="shared" si="30"/>
        <v>10346</v>
      </c>
      <c r="M480" s="1541">
        <f t="shared" si="31"/>
        <v>0</v>
      </c>
    </row>
    <row r="481" spans="1:13" x14ac:dyDescent="0.3">
      <c r="A481" s="1852" t="s">
        <v>3023</v>
      </c>
      <c r="B481" s="1462"/>
      <c r="C481" s="1456">
        <v>1820</v>
      </c>
      <c r="D481" s="1456">
        <v>1820</v>
      </c>
      <c r="E481" s="1462"/>
      <c r="J481" s="1541">
        <f t="shared" si="28"/>
        <v>0</v>
      </c>
      <c r="K481" s="1541">
        <f t="shared" si="29"/>
        <v>1820</v>
      </c>
      <c r="L481" s="1541">
        <f t="shared" si="30"/>
        <v>1820</v>
      </c>
      <c r="M481" s="1541">
        <f t="shared" si="31"/>
        <v>0</v>
      </c>
    </row>
    <row r="482" spans="1:13" x14ac:dyDescent="0.3">
      <c r="A482" s="1852" t="s">
        <v>3024</v>
      </c>
      <c r="B482" s="1462"/>
      <c r="C482" s="1456">
        <v>1530</v>
      </c>
      <c r="D482" s="1456">
        <v>1530</v>
      </c>
      <c r="E482" s="1462"/>
      <c r="J482" s="1541">
        <f t="shared" ref="J482:J545" si="32">B482+F482</f>
        <v>0</v>
      </c>
      <c r="K482" s="1541">
        <f t="shared" ref="K482:K545" si="33">C482+G482</f>
        <v>1530</v>
      </c>
      <c r="L482" s="1541">
        <f t="shared" ref="L482:L545" si="34">D482+H482</f>
        <v>1530</v>
      </c>
      <c r="M482" s="1541">
        <f t="shared" ref="M482:M545" si="35">E482+I482</f>
        <v>0</v>
      </c>
    </row>
    <row r="483" spans="1:13" x14ac:dyDescent="0.3">
      <c r="A483" s="1852" t="s">
        <v>3025</v>
      </c>
      <c r="B483" s="1462"/>
      <c r="C483" s="1456">
        <v>1530</v>
      </c>
      <c r="D483" s="1456">
        <v>1530</v>
      </c>
      <c r="E483" s="1462"/>
      <c r="J483" s="1541">
        <f t="shared" si="32"/>
        <v>0</v>
      </c>
      <c r="K483" s="1541">
        <f t="shared" si="33"/>
        <v>1530</v>
      </c>
      <c r="L483" s="1541">
        <f t="shared" si="34"/>
        <v>1530</v>
      </c>
      <c r="M483" s="1541">
        <f t="shared" si="35"/>
        <v>0</v>
      </c>
    </row>
    <row r="484" spans="1:13" x14ac:dyDescent="0.3">
      <c r="A484" s="1852" t="s">
        <v>3026</v>
      </c>
      <c r="B484" s="1462"/>
      <c r="C484" s="1456">
        <v>1650</v>
      </c>
      <c r="D484" s="1456">
        <v>1650</v>
      </c>
      <c r="E484" s="1462"/>
      <c r="J484" s="1541">
        <f t="shared" si="32"/>
        <v>0</v>
      </c>
      <c r="K484" s="1541">
        <f t="shared" si="33"/>
        <v>1650</v>
      </c>
      <c r="L484" s="1541">
        <f t="shared" si="34"/>
        <v>1650</v>
      </c>
      <c r="M484" s="1541">
        <f t="shared" si="35"/>
        <v>0</v>
      </c>
    </row>
    <row r="485" spans="1:13" x14ac:dyDescent="0.3">
      <c r="A485" s="1855" t="s">
        <v>3027</v>
      </c>
      <c r="B485" s="1462"/>
      <c r="C485" s="1456">
        <v>400</v>
      </c>
      <c r="D485" s="1456">
        <v>400</v>
      </c>
      <c r="E485" s="1462"/>
      <c r="J485" s="1541">
        <f t="shared" si="32"/>
        <v>0</v>
      </c>
      <c r="K485" s="1541">
        <f t="shared" si="33"/>
        <v>400</v>
      </c>
      <c r="L485" s="1541">
        <f t="shared" si="34"/>
        <v>400</v>
      </c>
      <c r="M485" s="1541">
        <f t="shared" si="35"/>
        <v>0</v>
      </c>
    </row>
    <row r="486" spans="1:13" x14ac:dyDescent="0.3">
      <c r="A486" s="1852" t="s">
        <v>3028</v>
      </c>
      <c r="B486" s="1462"/>
      <c r="C486" s="1456">
        <v>1620</v>
      </c>
      <c r="D486" s="1456">
        <v>1620</v>
      </c>
      <c r="E486" s="1462"/>
      <c r="J486" s="1541">
        <f t="shared" si="32"/>
        <v>0</v>
      </c>
      <c r="K486" s="1541">
        <f t="shared" si="33"/>
        <v>1620</v>
      </c>
      <c r="L486" s="1541">
        <f t="shared" si="34"/>
        <v>1620</v>
      </c>
      <c r="M486" s="1541">
        <f t="shared" si="35"/>
        <v>0</v>
      </c>
    </row>
    <row r="487" spans="1:13" x14ac:dyDescent="0.3">
      <c r="A487" s="1852" t="s">
        <v>3029</v>
      </c>
      <c r="B487" s="1462"/>
      <c r="C487" s="1456">
        <v>200</v>
      </c>
      <c r="D487" s="1456">
        <v>200</v>
      </c>
      <c r="E487" s="1462"/>
      <c r="J487" s="1541">
        <f t="shared" si="32"/>
        <v>0</v>
      </c>
      <c r="K487" s="1541">
        <f t="shared" si="33"/>
        <v>200</v>
      </c>
      <c r="L487" s="1541">
        <f t="shared" si="34"/>
        <v>200</v>
      </c>
      <c r="M487" s="1541">
        <f t="shared" si="35"/>
        <v>0</v>
      </c>
    </row>
    <row r="488" spans="1:13" x14ac:dyDescent="0.3">
      <c r="A488" s="1852" t="s">
        <v>3030</v>
      </c>
      <c r="B488" s="1462"/>
      <c r="C488" s="1456">
        <v>2640</v>
      </c>
      <c r="D488" s="1456">
        <v>2640</v>
      </c>
      <c r="E488" s="1462"/>
      <c r="J488" s="1541">
        <f t="shared" si="32"/>
        <v>0</v>
      </c>
      <c r="K488" s="1541">
        <f t="shared" si="33"/>
        <v>2640</v>
      </c>
      <c r="L488" s="1541">
        <f t="shared" si="34"/>
        <v>2640</v>
      </c>
      <c r="M488" s="1541">
        <f t="shared" si="35"/>
        <v>0</v>
      </c>
    </row>
    <row r="489" spans="1:13" x14ac:dyDescent="0.3">
      <c r="A489" s="1855" t="s">
        <v>3031</v>
      </c>
      <c r="B489" s="1462"/>
      <c r="C489" s="1456">
        <v>10624</v>
      </c>
      <c r="D489" s="1456">
        <v>10624</v>
      </c>
      <c r="E489" s="1462"/>
      <c r="J489" s="1541">
        <f t="shared" si="32"/>
        <v>0</v>
      </c>
      <c r="K489" s="1541">
        <f t="shared" si="33"/>
        <v>10624</v>
      </c>
      <c r="L489" s="1541">
        <f t="shared" si="34"/>
        <v>10624</v>
      </c>
      <c r="M489" s="1541">
        <f t="shared" si="35"/>
        <v>0</v>
      </c>
    </row>
    <row r="490" spans="1:13" x14ac:dyDescent="0.3">
      <c r="A490" s="1852" t="s">
        <v>3032</v>
      </c>
      <c r="B490" s="1462"/>
      <c r="C490" s="1456">
        <v>5872</v>
      </c>
      <c r="D490" s="1456">
        <v>5872</v>
      </c>
      <c r="E490" s="1462"/>
      <c r="J490" s="1541">
        <f t="shared" si="32"/>
        <v>0</v>
      </c>
      <c r="K490" s="1541">
        <f t="shared" si="33"/>
        <v>5872</v>
      </c>
      <c r="L490" s="1541">
        <f t="shared" si="34"/>
        <v>5872</v>
      </c>
      <c r="M490" s="1541">
        <f t="shared" si="35"/>
        <v>0</v>
      </c>
    </row>
    <row r="491" spans="1:13" x14ac:dyDescent="0.3">
      <c r="A491" s="1852" t="s">
        <v>3033</v>
      </c>
      <c r="B491" s="1462"/>
      <c r="C491" s="1456">
        <v>9705</v>
      </c>
      <c r="D491" s="1456">
        <v>9705</v>
      </c>
      <c r="E491" s="1462"/>
      <c r="J491" s="1541">
        <f t="shared" si="32"/>
        <v>0</v>
      </c>
      <c r="K491" s="1541">
        <f t="shared" si="33"/>
        <v>9705</v>
      </c>
      <c r="L491" s="1541">
        <f t="shared" si="34"/>
        <v>9705</v>
      </c>
      <c r="M491" s="1541">
        <f t="shared" si="35"/>
        <v>0</v>
      </c>
    </row>
    <row r="492" spans="1:13" x14ac:dyDescent="0.3">
      <c r="A492" s="1852" t="s">
        <v>3034</v>
      </c>
      <c r="B492" s="1462"/>
      <c r="C492" s="1456">
        <v>3320</v>
      </c>
      <c r="D492" s="1456">
        <v>3320</v>
      </c>
      <c r="E492" s="1462"/>
      <c r="J492" s="1541">
        <f t="shared" si="32"/>
        <v>0</v>
      </c>
      <c r="K492" s="1541">
        <f t="shared" si="33"/>
        <v>3320</v>
      </c>
      <c r="L492" s="1541">
        <f t="shared" si="34"/>
        <v>3320</v>
      </c>
      <c r="M492" s="1541">
        <f t="shared" si="35"/>
        <v>0</v>
      </c>
    </row>
    <row r="493" spans="1:13" x14ac:dyDescent="0.3">
      <c r="A493" s="1852" t="s">
        <v>3037</v>
      </c>
      <c r="B493" s="1462"/>
      <c r="C493" s="1456">
        <v>446</v>
      </c>
      <c r="D493" s="1456">
        <v>446</v>
      </c>
      <c r="E493" s="1462"/>
      <c r="J493" s="1541">
        <f t="shared" si="32"/>
        <v>0</v>
      </c>
      <c r="K493" s="1541">
        <f t="shared" si="33"/>
        <v>446</v>
      </c>
      <c r="L493" s="1541">
        <f t="shared" si="34"/>
        <v>446</v>
      </c>
      <c r="M493" s="1541">
        <f t="shared" si="35"/>
        <v>0</v>
      </c>
    </row>
    <row r="494" spans="1:13" x14ac:dyDescent="0.3">
      <c r="A494" s="1852" t="s">
        <v>3038</v>
      </c>
      <c r="B494" s="1462"/>
      <c r="C494" s="1456">
        <v>1036</v>
      </c>
      <c r="D494" s="1456">
        <v>1036</v>
      </c>
      <c r="E494" s="1462"/>
      <c r="J494" s="1541">
        <f t="shared" si="32"/>
        <v>0</v>
      </c>
      <c r="K494" s="1541">
        <f t="shared" si="33"/>
        <v>1036</v>
      </c>
      <c r="L494" s="1541">
        <f t="shared" si="34"/>
        <v>1036</v>
      </c>
      <c r="M494" s="1541">
        <f t="shared" si="35"/>
        <v>0</v>
      </c>
    </row>
    <row r="495" spans="1:13" x14ac:dyDescent="0.3">
      <c r="A495" s="1852" t="s">
        <v>3039</v>
      </c>
      <c r="B495" s="1462"/>
      <c r="C495" s="1456">
        <v>330</v>
      </c>
      <c r="D495" s="1456">
        <v>330</v>
      </c>
      <c r="E495" s="1462"/>
      <c r="J495" s="1541">
        <f t="shared" si="32"/>
        <v>0</v>
      </c>
      <c r="K495" s="1541">
        <f t="shared" si="33"/>
        <v>330</v>
      </c>
      <c r="L495" s="1541">
        <f t="shared" si="34"/>
        <v>330</v>
      </c>
      <c r="M495" s="1541">
        <f t="shared" si="35"/>
        <v>0</v>
      </c>
    </row>
    <row r="496" spans="1:13" x14ac:dyDescent="0.3">
      <c r="A496" s="1855" t="s">
        <v>3040</v>
      </c>
      <c r="B496" s="1462"/>
      <c r="C496" s="1456">
        <v>522</v>
      </c>
      <c r="D496" s="1456">
        <v>522</v>
      </c>
      <c r="E496" s="1462"/>
      <c r="J496" s="1541">
        <f t="shared" si="32"/>
        <v>0</v>
      </c>
      <c r="K496" s="1541">
        <f t="shared" si="33"/>
        <v>522</v>
      </c>
      <c r="L496" s="1541">
        <f t="shared" si="34"/>
        <v>522</v>
      </c>
      <c r="M496" s="1541">
        <f t="shared" si="35"/>
        <v>0</v>
      </c>
    </row>
    <row r="497" spans="1:13" x14ac:dyDescent="0.3">
      <c r="A497" s="1852" t="s">
        <v>3041</v>
      </c>
      <c r="B497" s="1462"/>
      <c r="C497" s="1456">
        <v>306</v>
      </c>
      <c r="D497" s="1456">
        <v>306</v>
      </c>
      <c r="E497" s="1462"/>
      <c r="J497" s="1541">
        <f t="shared" si="32"/>
        <v>0</v>
      </c>
      <c r="K497" s="1541">
        <f t="shared" si="33"/>
        <v>306</v>
      </c>
      <c r="L497" s="1541">
        <f t="shared" si="34"/>
        <v>306</v>
      </c>
      <c r="M497" s="1541">
        <f t="shared" si="35"/>
        <v>0</v>
      </c>
    </row>
    <row r="498" spans="1:13" x14ac:dyDescent="0.3">
      <c r="A498" s="1852" t="s">
        <v>3042</v>
      </c>
      <c r="B498" s="1462"/>
      <c r="C498" s="1456">
        <v>19150</v>
      </c>
      <c r="D498" s="1456">
        <v>19150</v>
      </c>
      <c r="E498" s="1462"/>
      <c r="J498" s="1541">
        <f t="shared" si="32"/>
        <v>0</v>
      </c>
      <c r="K498" s="1541">
        <f t="shared" si="33"/>
        <v>19150</v>
      </c>
      <c r="L498" s="1541">
        <f t="shared" si="34"/>
        <v>19150</v>
      </c>
      <c r="M498" s="1541">
        <f t="shared" si="35"/>
        <v>0</v>
      </c>
    </row>
    <row r="499" spans="1:13" x14ac:dyDescent="0.3">
      <c r="A499" s="1855" t="s">
        <v>3043</v>
      </c>
      <c r="B499" s="1462"/>
      <c r="C499" s="1456">
        <v>3300</v>
      </c>
      <c r="D499" s="1456">
        <v>3300</v>
      </c>
      <c r="E499" s="1462"/>
      <c r="J499" s="1541">
        <f t="shared" si="32"/>
        <v>0</v>
      </c>
      <c r="K499" s="1541">
        <f t="shared" si="33"/>
        <v>3300</v>
      </c>
      <c r="L499" s="1541">
        <f t="shared" si="34"/>
        <v>3300</v>
      </c>
      <c r="M499" s="1541">
        <f t="shared" si="35"/>
        <v>0</v>
      </c>
    </row>
    <row r="500" spans="1:13" x14ac:dyDescent="0.3">
      <c r="A500" s="1855" t="s">
        <v>3044</v>
      </c>
      <c r="B500" s="1462"/>
      <c r="C500" s="1456">
        <v>1120</v>
      </c>
      <c r="D500" s="1456">
        <v>1120</v>
      </c>
      <c r="E500" s="1462"/>
      <c r="J500" s="1541">
        <f t="shared" si="32"/>
        <v>0</v>
      </c>
      <c r="K500" s="1541">
        <f t="shared" si="33"/>
        <v>1120</v>
      </c>
      <c r="L500" s="1541">
        <f t="shared" si="34"/>
        <v>1120</v>
      </c>
      <c r="M500" s="1541">
        <f t="shared" si="35"/>
        <v>0</v>
      </c>
    </row>
    <row r="501" spans="1:13" x14ac:dyDescent="0.3">
      <c r="A501" s="1852" t="s">
        <v>3045</v>
      </c>
      <c r="B501" s="1462"/>
      <c r="C501" s="1456">
        <v>1700</v>
      </c>
      <c r="D501" s="1456">
        <v>1700</v>
      </c>
      <c r="E501" s="1462"/>
      <c r="J501" s="1541">
        <f t="shared" si="32"/>
        <v>0</v>
      </c>
      <c r="K501" s="1541">
        <f t="shared" si="33"/>
        <v>1700</v>
      </c>
      <c r="L501" s="1541">
        <f t="shared" si="34"/>
        <v>1700</v>
      </c>
      <c r="M501" s="1541">
        <f t="shared" si="35"/>
        <v>0</v>
      </c>
    </row>
    <row r="502" spans="1:13" x14ac:dyDescent="0.3">
      <c r="A502" s="1852" t="s">
        <v>3046</v>
      </c>
      <c r="B502" s="1462"/>
      <c r="C502" s="1456">
        <v>200</v>
      </c>
      <c r="D502" s="1456">
        <v>200</v>
      </c>
      <c r="E502" s="1462"/>
      <c r="J502" s="1541">
        <f t="shared" si="32"/>
        <v>0</v>
      </c>
      <c r="K502" s="1541">
        <f t="shared" si="33"/>
        <v>200</v>
      </c>
      <c r="L502" s="1541">
        <f t="shared" si="34"/>
        <v>200</v>
      </c>
      <c r="M502" s="1541">
        <f t="shared" si="35"/>
        <v>0</v>
      </c>
    </row>
    <row r="503" spans="1:13" x14ac:dyDescent="0.3">
      <c r="A503" s="1852" t="s">
        <v>3047</v>
      </c>
      <c r="B503" s="1462"/>
      <c r="C503" s="1456">
        <v>200</v>
      </c>
      <c r="D503" s="1456">
        <v>200</v>
      </c>
      <c r="E503" s="1462"/>
      <c r="J503" s="1541">
        <f t="shared" si="32"/>
        <v>0</v>
      </c>
      <c r="K503" s="1541">
        <f t="shared" si="33"/>
        <v>200</v>
      </c>
      <c r="L503" s="1541">
        <f t="shared" si="34"/>
        <v>200</v>
      </c>
      <c r="M503" s="1541">
        <f t="shared" si="35"/>
        <v>0</v>
      </c>
    </row>
    <row r="504" spans="1:13" x14ac:dyDescent="0.3">
      <c r="A504" s="1852" t="s">
        <v>3048</v>
      </c>
      <c r="B504" s="1462"/>
      <c r="C504" s="1456">
        <v>33295</v>
      </c>
      <c r="D504" s="1456">
        <v>33295</v>
      </c>
      <c r="E504" s="1462"/>
      <c r="J504" s="1541">
        <f t="shared" si="32"/>
        <v>0</v>
      </c>
      <c r="K504" s="1541">
        <f t="shared" si="33"/>
        <v>33295</v>
      </c>
      <c r="L504" s="1541">
        <f t="shared" si="34"/>
        <v>33295</v>
      </c>
      <c r="M504" s="1541">
        <f t="shared" si="35"/>
        <v>0</v>
      </c>
    </row>
    <row r="505" spans="1:13" x14ac:dyDescent="0.3">
      <c r="A505" s="1852" t="s">
        <v>3049</v>
      </c>
      <c r="B505" s="1462"/>
      <c r="C505" s="1456">
        <v>140</v>
      </c>
      <c r="D505" s="1456">
        <v>140</v>
      </c>
      <c r="E505" s="1462"/>
      <c r="J505" s="1541">
        <f t="shared" si="32"/>
        <v>0</v>
      </c>
      <c r="K505" s="1541">
        <f t="shared" si="33"/>
        <v>140</v>
      </c>
      <c r="L505" s="1541">
        <f t="shared" si="34"/>
        <v>140</v>
      </c>
      <c r="M505" s="1541">
        <f t="shared" si="35"/>
        <v>0</v>
      </c>
    </row>
    <row r="506" spans="1:13" x14ac:dyDescent="0.3">
      <c r="A506" s="1855" t="s">
        <v>3050</v>
      </c>
      <c r="B506" s="1462"/>
      <c r="C506" s="1456">
        <v>540</v>
      </c>
      <c r="D506" s="1456">
        <v>540</v>
      </c>
      <c r="E506" s="1462"/>
      <c r="J506" s="1541">
        <f t="shared" si="32"/>
        <v>0</v>
      </c>
      <c r="K506" s="1541">
        <f t="shared" si="33"/>
        <v>540</v>
      </c>
      <c r="L506" s="1541">
        <f t="shared" si="34"/>
        <v>540</v>
      </c>
      <c r="M506" s="1541">
        <f t="shared" si="35"/>
        <v>0</v>
      </c>
    </row>
    <row r="507" spans="1:13" x14ac:dyDescent="0.3">
      <c r="A507" s="1855" t="s">
        <v>3051</v>
      </c>
      <c r="B507" s="1462"/>
      <c r="C507" s="1456">
        <v>926</v>
      </c>
      <c r="D507" s="1456">
        <v>926</v>
      </c>
      <c r="E507" s="1462"/>
      <c r="J507" s="1541">
        <f t="shared" si="32"/>
        <v>0</v>
      </c>
      <c r="K507" s="1541">
        <f t="shared" si="33"/>
        <v>926</v>
      </c>
      <c r="L507" s="1541">
        <f t="shared" si="34"/>
        <v>926</v>
      </c>
      <c r="M507" s="1541">
        <f t="shared" si="35"/>
        <v>0</v>
      </c>
    </row>
    <row r="508" spans="1:13" x14ac:dyDescent="0.3">
      <c r="A508" s="1855" t="s">
        <v>3052</v>
      </c>
      <c r="B508" s="1462"/>
      <c r="C508" s="1456">
        <v>1116</v>
      </c>
      <c r="D508" s="1456">
        <v>1116</v>
      </c>
      <c r="E508" s="1462"/>
      <c r="J508" s="1541">
        <f t="shared" si="32"/>
        <v>0</v>
      </c>
      <c r="K508" s="1541">
        <f t="shared" si="33"/>
        <v>1116</v>
      </c>
      <c r="L508" s="1541">
        <f t="shared" si="34"/>
        <v>1116</v>
      </c>
      <c r="M508" s="1541">
        <f t="shared" si="35"/>
        <v>0</v>
      </c>
    </row>
    <row r="509" spans="1:13" x14ac:dyDescent="0.3">
      <c r="A509" s="1852" t="s">
        <v>3053</v>
      </c>
      <c r="B509" s="1462"/>
      <c r="C509" s="1456">
        <v>1438</v>
      </c>
      <c r="D509" s="1456">
        <v>1438</v>
      </c>
      <c r="E509" s="1462"/>
      <c r="J509" s="1541">
        <f t="shared" si="32"/>
        <v>0</v>
      </c>
      <c r="K509" s="1541">
        <f t="shared" si="33"/>
        <v>1438</v>
      </c>
      <c r="L509" s="1541">
        <f t="shared" si="34"/>
        <v>1438</v>
      </c>
      <c r="M509" s="1541">
        <f t="shared" si="35"/>
        <v>0</v>
      </c>
    </row>
    <row r="510" spans="1:13" x14ac:dyDescent="0.3">
      <c r="A510" s="1855" t="s">
        <v>3054</v>
      </c>
      <c r="B510" s="1462"/>
      <c r="C510" s="1456">
        <v>700</v>
      </c>
      <c r="D510" s="1456">
        <v>700</v>
      </c>
      <c r="E510" s="1462"/>
      <c r="J510" s="1541">
        <f t="shared" si="32"/>
        <v>0</v>
      </c>
      <c r="K510" s="1541">
        <f t="shared" si="33"/>
        <v>700</v>
      </c>
      <c r="L510" s="1541">
        <f t="shared" si="34"/>
        <v>700</v>
      </c>
      <c r="M510" s="1541">
        <f t="shared" si="35"/>
        <v>0</v>
      </c>
    </row>
    <row r="511" spans="1:13" x14ac:dyDescent="0.3">
      <c r="A511" s="1852" t="s">
        <v>3057</v>
      </c>
      <c r="B511" s="1462"/>
      <c r="C511" s="1456">
        <v>3890</v>
      </c>
      <c r="D511" s="1456">
        <v>3890</v>
      </c>
      <c r="E511" s="1462"/>
      <c r="J511" s="1541">
        <f t="shared" si="32"/>
        <v>0</v>
      </c>
      <c r="K511" s="1541">
        <f t="shared" si="33"/>
        <v>3890</v>
      </c>
      <c r="L511" s="1541">
        <f t="shared" si="34"/>
        <v>3890</v>
      </c>
      <c r="M511" s="1541">
        <f t="shared" si="35"/>
        <v>0</v>
      </c>
    </row>
    <row r="512" spans="1:13" x14ac:dyDescent="0.3">
      <c r="A512" s="1852" t="s">
        <v>3058</v>
      </c>
      <c r="B512" s="1462"/>
      <c r="C512" s="1456">
        <v>13109</v>
      </c>
      <c r="D512" s="1456">
        <v>13109</v>
      </c>
      <c r="E512" s="1462"/>
      <c r="J512" s="1541">
        <f t="shared" si="32"/>
        <v>0</v>
      </c>
      <c r="K512" s="1541">
        <f t="shared" si="33"/>
        <v>13109</v>
      </c>
      <c r="L512" s="1541">
        <f t="shared" si="34"/>
        <v>13109</v>
      </c>
      <c r="M512" s="1541">
        <f t="shared" si="35"/>
        <v>0</v>
      </c>
    </row>
    <row r="513" spans="1:13" x14ac:dyDescent="0.3">
      <c r="A513" s="1852" t="s">
        <v>3059</v>
      </c>
      <c r="B513" s="1462"/>
      <c r="C513" s="1456">
        <v>24049</v>
      </c>
      <c r="D513" s="1456">
        <v>24049</v>
      </c>
      <c r="E513" s="1462"/>
      <c r="J513" s="1541">
        <f t="shared" si="32"/>
        <v>0</v>
      </c>
      <c r="K513" s="1541">
        <f t="shared" si="33"/>
        <v>24049</v>
      </c>
      <c r="L513" s="1541">
        <f t="shared" si="34"/>
        <v>24049</v>
      </c>
      <c r="M513" s="1541">
        <f t="shared" si="35"/>
        <v>0</v>
      </c>
    </row>
    <row r="514" spans="1:13" x14ac:dyDescent="0.3">
      <c r="A514" s="1852" t="s">
        <v>3060</v>
      </c>
      <c r="B514" s="1462"/>
      <c r="C514" s="1456">
        <v>1498</v>
      </c>
      <c r="D514" s="1456">
        <v>1498</v>
      </c>
      <c r="E514" s="1462"/>
      <c r="J514" s="1541">
        <f t="shared" si="32"/>
        <v>0</v>
      </c>
      <c r="K514" s="1541">
        <f t="shared" si="33"/>
        <v>1498</v>
      </c>
      <c r="L514" s="1541">
        <f t="shared" si="34"/>
        <v>1498</v>
      </c>
      <c r="M514" s="1541">
        <f t="shared" si="35"/>
        <v>0</v>
      </c>
    </row>
    <row r="515" spans="1:13" x14ac:dyDescent="0.3">
      <c r="A515" s="1852" t="s">
        <v>3061</v>
      </c>
      <c r="B515" s="1462"/>
      <c r="C515" s="1456">
        <v>1232</v>
      </c>
      <c r="D515" s="1456">
        <v>1232</v>
      </c>
      <c r="E515" s="1462"/>
      <c r="J515" s="1541">
        <f t="shared" si="32"/>
        <v>0</v>
      </c>
      <c r="K515" s="1541">
        <f t="shared" si="33"/>
        <v>1232</v>
      </c>
      <c r="L515" s="1541">
        <f t="shared" si="34"/>
        <v>1232</v>
      </c>
      <c r="M515" s="1541">
        <f t="shared" si="35"/>
        <v>0</v>
      </c>
    </row>
    <row r="516" spans="1:13" x14ac:dyDescent="0.3">
      <c r="A516" s="1852" t="s">
        <v>3062</v>
      </c>
      <c r="B516" s="1462"/>
      <c r="C516" s="1456">
        <v>532</v>
      </c>
      <c r="D516" s="1456">
        <v>532</v>
      </c>
      <c r="E516" s="1462"/>
      <c r="J516" s="1541">
        <f t="shared" si="32"/>
        <v>0</v>
      </c>
      <c r="K516" s="1541">
        <f t="shared" si="33"/>
        <v>532</v>
      </c>
      <c r="L516" s="1541">
        <f t="shared" si="34"/>
        <v>532</v>
      </c>
      <c r="M516" s="1541">
        <f t="shared" si="35"/>
        <v>0</v>
      </c>
    </row>
    <row r="517" spans="1:13" x14ac:dyDescent="0.3">
      <c r="A517" s="1855" t="s">
        <v>3063</v>
      </c>
      <c r="B517" s="1462"/>
      <c r="C517" s="1456">
        <v>1084</v>
      </c>
      <c r="D517" s="1456">
        <v>1084</v>
      </c>
      <c r="E517" s="1462"/>
      <c r="J517" s="1541">
        <f t="shared" si="32"/>
        <v>0</v>
      </c>
      <c r="K517" s="1541">
        <f t="shared" si="33"/>
        <v>1084</v>
      </c>
      <c r="L517" s="1541">
        <f t="shared" si="34"/>
        <v>1084</v>
      </c>
      <c r="M517" s="1541">
        <f t="shared" si="35"/>
        <v>0</v>
      </c>
    </row>
    <row r="518" spans="1:13" x14ac:dyDescent="0.3">
      <c r="A518" s="1852" t="s">
        <v>3064</v>
      </c>
      <c r="B518" s="1462"/>
      <c r="C518" s="1456">
        <v>280</v>
      </c>
      <c r="D518" s="1456">
        <v>280</v>
      </c>
      <c r="E518" s="1462"/>
      <c r="J518" s="1541">
        <f t="shared" si="32"/>
        <v>0</v>
      </c>
      <c r="K518" s="1541">
        <f t="shared" si="33"/>
        <v>280</v>
      </c>
      <c r="L518" s="1541">
        <f t="shared" si="34"/>
        <v>280</v>
      </c>
      <c r="M518" s="1541">
        <f t="shared" si="35"/>
        <v>0</v>
      </c>
    </row>
    <row r="519" spans="1:13" x14ac:dyDescent="0.3">
      <c r="A519" s="1852" t="s">
        <v>3065</v>
      </c>
      <c r="B519" s="1462"/>
      <c r="C519" s="1456">
        <v>28320</v>
      </c>
      <c r="D519" s="1456">
        <v>28320</v>
      </c>
      <c r="E519" s="1462"/>
      <c r="J519" s="1541">
        <f t="shared" si="32"/>
        <v>0</v>
      </c>
      <c r="K519" s="1541">
        <f t="shared" si="33"/>
        <v>28320</v>
      </c>
      <c r="L519" s="1541">
        <f t="shared" si="34"/>
        <v>28320</v>
      </c>
      <c r="M519" s="1541">
        <f t="shared" si="35"/>
        <v>0</v>
      </c>
    </row>
    <row r="520" spans="1:13" x14ac:dyDescent="0.3">
      <c r="A520" s="1852" t="s">
        <v>3067</v>
      </c>
      <c r="B520" s="1462"/>
      <c r="C520" s="1456">
        <v>1892</v>
      </c>
      <c r="D520" s="1456">
        <v>1892</v>
      </c>
      <c r="E520" s="1462"/>
      <c r="J520" s="1541">
        <f t="shared" si="32"/>
        <v>0</v>
      </c>
      <c r="K520" s="1541">
        <f t="shared" si="33"/>
        <v>1892</v>
      </c>
      <c r="L520" s="1541">
        <f t="shared" si="34"/>
        <v>1892</v>
      </c>
      <c r="M520" s="1541">
        <f t="shared" si="35"/>
        <v>0</v>
      </c>
    </row>
    <row r="521" spans="1:13" x14ac:dyDescent="0.3">
      <c r="A521" s="1852" t="s">
        <v>3068</v>
      </c>
      <c r="B521" s="1462"/>
      <c r="C521" s="1456">
        <v>16770</v>
      </c>
      <c r="D521" s="1456">
        <v>16770</v>
      </c>
      <c r="E521" s="1462"/>
      <c r="J521" s="1541">
        <f t="shared" si="32"/>
        <v>0</v>
      </c>
      <c r="K521" s="1541">
        <f t="shared" si="33"/>
        <v>16770</v>
      </c>
      <c r="L521" s="1541">
        <f t="shared" si="34"/>
        <v>16770</v>
      </c>
      <c r="M521" s="1541">
        <f t="shared" si="35"/>
        <v>0</v>
      </c>
    </row>
    <row r="522" spans="1:13" x14ac:dyDescent="0.3">
      <c r="A522" s="1852" t="s">
        <v>3070</v>
      </c>
      <c r="B522" s="1462"/>
      <c r="C522" s="1456">
        <v>2186</v>
      </c>
      <c r="D522" s="1456">
        <v>2186</v>
      </c>
      <c r="E522" s="1462"/>
      <c r="J522" s="1541">
        <f t="shared" si="32"/>
        <v>0</v>
      </c>
      <c r="K522" s="1541">
        <f t="shared" si="33"/>
        <v>2186</v>
      </c>
      <c r="L522" s="1541">
        <f t="shared" si="34"/>
        <v>2186</v>
      </c>
      <c r="M522" s="1541">
        <f t="shared" si="35"/>
        <v>0</v>
      </c>
    </row>
    <row r="523" spans="1:13" x14ac:dyDescent="0.3">
      <c r="A523" s="1852" t="s">
        <v>3071</v>
      </c>
      <c r="B523" s="1462"/>
      <c r="C523" s="1456">
        <v>446</v>
      </c>
      <c r="D523" s="1456">
        <v>446</v>
      </c>
      <c r="E523" s="1462"/>
      <c r="J523" s="1541">
        <f t="shared" si="32"/>
        <v>0</v>
      </c>
      <c r="K523" s="1541">
        <f t="shared" si="33"/>
        <v>446</v>
      </c>
      <c r="L523" s="1541">
        <f t="shared" si="34"/>
        <v>446</v>
      </c>
      <c r="M523" s="1541">
        <f t="shared" si="35"/>
        <v>0</v>
      </c>
    </row>
    <row r="524" spans="1:13" x14ac:dyDescent="0.3">
      <c r="A524" s="1852" t="s">
        <v>3072</v>
      </c>
      <c r="B524" s="1462"/>
      <c r="C524" s="1456">
        <v>2450</v>
      </c>
      <c r="D524" s="1456">
        <v>2450</v>
      </c>
      <c r="E524" s="1462"/>
      <c r="J524" s="1541">
        <f t="shared" si="32"/>
        <v>0</v>
      </c>
      <c r="K524" s="1541">
        <f t="shared" si="33"/>
        <v>2450</v>
      </c>
      <c r="L524" s="1541">
        <f t="shared" si="34"/>
        <v>2450</v>
      </c>
      <c r="M524" s="1541">
        <f t="shared" si="35"/>
        <v>0</v>
      </c>
    </row>
    <row r="525" spans="1:13" x14ac:dyDescent="0.3">
      <c r="A525" s="1852" t="s">
        <v>3073</v>
      </c>
      <c r="B525" s="1462"/>
      <c r="C525" s="1456">
        <v>472</v>
      </c>
      <c r="D525" s="1456">
        <v>472</v>
      </c>
      <c r="E525" s="1462"/>
      <c r="J525" s="1541">
        <f t="shared" si="32"/>
        <v>0</v>
      </c>
      <c r="K525" s="1541">
        <f t="shared" si="33"/>
        <v>472</v>
      </c>
      <c r="L525" s="1541">
        <f t="shared" si="34"/>
        <v>472</v>
      </c>
      <c r="M525" s="1541">
        <f t="shared" si="35"/>
        <v>0</v>
      </c>
    </row>
    <row r="526" spans="1:13" x14ac:dyDescent="0.3">
      <c r="A526" s="1855" t="s">
        <v>3074</v>
      </c>
      <c r="B526" s="1462"/>
      <c r="C526" s="1456">
        <v>1806</v>
      </c>
      <c r="D526" s="1456">
        <v>1806</v>
      </c>
      <c r="E526" s="1462"/>
      <c r="J526" s="1541">
        <f t="shared" si="32"/>
        <v>0</v>
      </c>
      <c r="K526" s="1541">
        <f t="shared" si="33"/>
        <v>1806</v>
      </c>
      <c r="L526" s="1541">
        <f t="shared" si="34"/>
        <v>1806</v>
      </c>
      <c r="M526" s="1541">
        <f t="shared" si="35"/>
        <v>0</v>
      </c>
    </row>
    <row r="527" spans="1:13" x14ac:dyDescent="0.3">
      <c r="A527" s="1855" t="s">
        <v>3075</v>
      </c>
      <c r="B527" s="1462"/>
      <c r="C527" s="1456">
        <v>16004</v>
      </c>
      <c r="D527" s="1456">
        <v>16004</v>
      </c>
      <c r="E527" s="1462"/>
      <c r="J527" s="1541">
        <f t="shared" si="32"/>
        <v>0</v>
      </c>
      <c r="K527" s="1541">
        <f t="shared" si="33"/>
        <v>16004</v>
      </c>
      <c r="L527" s="1541">
        <f t="shared" si="34"/>
        <v>16004</v>
      </c>
      <c r="M527" s="1541">
        <f t="shared" si="35"/>
        <v>0</v>
      </c>
    </row>
    <row r="528" spans="1:13" x14ac:dyDescent="0.3">
      <c r="A528" s="1852" t="s">
        <v>3076</v>
      </c>
      <c r="B528" s="1462"/>
      <c r="C528" s="1456">
        <v>1220</v>
      </c>
      <c r="D528" s="1456">
        <v>1220</v>
      </c>
      <c r="E528" s="1462"/>
      <c r="J528" s="1541">
        <f t="shared" si="32"/>
        <v>0</v>
      </c>
      <c r="K528" s="1541">
        <f t="shared" si="33"/>
        <v>1220</v>
      </c>
      <c r="L528" s="1541">
        <f t="shared" si="34"/>
        <v>1220</v>
      </c>
      <c r="M528" s="1541">
        <f t="shared" si="35"/>
        <v>0</v>
      </c>
    </row>
    <row r="529" spans="1:13" x14ac:dyDescent="0.3">
      <c r="A529" s="1852" t="s">
        <v>3077</v>
      </c>
      <c r="B529" s="1462"/>
      <c r="C529" s="1456">
        <v>3328</v>
      </c>
      <c r="D529" s="1456">
        <v>3328</v>
      </c>
      <c r="E529" s="1462"/>
      <c r="J529" s="1541">
        <f t="shared" si="32"/>
        <v>0</v>
      </c>
      <c r="K529" s="1541">
        <f t="shared" si="33"/>
        <v>3328</v>
      </c>
      <c r="L529" s="1541">
        <f t="shared" si="34"/>
        <v>3328</v>
      </c>
      <c r="M529" s="1541">
        <f t="shared" si="35"/>
        <v>0</v>
      </c>
    </row>
    <row r="530" spans="1:13" x14ac:dyDescent="0.3">
      <c r="A530" s="1852" t="s">
        <v>3079</v>
      </c>
      <c r="B530" s="1462"/>
      <c r="C530" s="1456">
        <v>3972</v>
      </c>
      <c r="D530" s="1456">
        <v>3972</v>
      </c>
      <c r="E530" s="1462"/>
      <c r="J530" s="1541">
        <f t="shared" si="32"/>
        <v>0</v>
      </c>
      <c r="K530" s="1541">
        <f t="shared" si="33"/>
        <v>3972</v>
      </c>
      <c r="L530" s="1541">
        <f t="shared" si="34"/>
        <v>3972</v>
      </c>
      <c r="M530" s="1541">
        <f t="shared" si="35"/>
        <v>0</v>
      </c>
    </row>
    <row r="531" spans="1:13" x14ac:dyDescent="0.3">
      <c r="A531" s="1852" t="s">
        <v>3080</v>
      </c>
      <c r="B531" s="1462"/>
      <c r="C531" s="1456">
        <v>2074</v>
      </c>
      <c r="D531" s="1456">
        <v>2074</v>
      </c>
      <c r="E531" s="1462"/>
      <c r="J531" s="1541">
        <f t="shared" si="32"/>
        <v>0</v>
      </c>
      <c r="K531" s="1541">
        <f t="shared" si="33"/>
        <v>2074</v>
      </c>
      <c r="L531" s="1541">
        <f t="shared" si="34"/>
        <v>2074</v>
      </c>
      <c r="M531" s="1541">
        <f t="shared" si="35"/>
        <v>0</v>
      </c>
    </row>
    <row r="532" spans="1:13" x14ac:dyDescent="0.3">
      <c r="A532" s="1855" t="s">
        <v>3081</v>
      </c>
      <c r="B532" s="1462"/>
      <c r="C532" s="1456">
        <v>360</v>
      </c>
      <c r="D532" s="1456">
        <v>360</v>
      </c>
      <c r="E532" s="1462"/>
      <c r="J532" s="1541">
        <f t="shared" si="32"/>
        <v>0</v>
      </c>
      <c r="K532" s="1541">
        <f t="shared" si="33"/>
        <v>360</v>
      </c>
      <c r="L532" s="1541">
        <f t="shared" si="34"/>
        <v>360</v>
      </c>
      <c r="M532" s="1541">
        <f t="shared" si="35"/>
        <v>0</v>
      </c>
    </row>
    <row r="533" spans="1:13" x14ac:dyDescent="0.3">
      <c r="A533" s="1852" t="s">
        <v>3082</v>
      </c>
      <c r="B533" s="1462"/>
      <c r="C533" s="1456">
        <v>3192</v>
      </c>
      <c r="D533" s="1456">
        <v>3192</v>
      </c>
      <c r="E533" s="1462"/>
      <c r="J533" s="1541">
        <f t="shared" si="32"/>
        <v>0</v>
      </c>
      <c r="K533" s="1541">
        <f t="shared" si="33"/>
        <v>3192</v>
      </c>
      <c r="L533" s="1541">
        <f t="shared" si="34"/>
        <v>3192</v>
      </c>
      <c r="M533" s="1541">
        <f t="shared" si="35"/>
        <v>0</v>
      </c>
    </row>
    <row r="534" spans="1:13" x14ac:dyDescent="0.3">
      <c r="A534" s="1852" t="s">
        <v>3083</v>
      </c>
      <c r="B534" s="1462"/>
      <c r="C534" s="1456">
        <v>1826</v>
      </c>
      <c r="D534" s="1456">
        <v>1826</v>
      </c>
      <c r="E534" s="1462"/>
      <c r="J534" s="1541">
        <f t="shared" si="32"/>
        <v>0</v>
      </c>
      <c r="K534" s="1541">
        <f t="shared" si="33"/>
        <v>1826</v>
      </c>
      <c r="L534" s="1541">
        <f t="shared" si="34"/>
        <v>1826</v>
      </c>
      <c r="M534" s="1541">
        <f t="shared" si="35"/>
        <v>0</v>
      </c>
    </row>
    <row r="535" spans="1:13" x14ac:dyDescent="0.3">
      <c r="A535" s="1852" t="s">
        <v>3085</v>
      </c>
      <c r="B535" s="1462"/>
      <c r="C535" s="1456">
        <v>366</v>
      </c>
      <c r="D535" s="1456">
        <v>366</v>
      </c>
      <c r="E535" s="1462"/>
      <c r="J535" s="1541">
        <f t="shared" si="32"/>
        <v>0</v>
      </c>
      <c r="K535" s="1541">
        <f t="shared" si="33"/>
        <v>366</v>
      </c>
      <c r="L535" s="1541">
        <f t="shared" si="34"/>
        <v>366</v>
      </c>
      <c r="M535" s="1541">
        <f t="shared" si="35"/>
        <v>0</v>
      </c>
    </row>
    <row r="536" spans="1:13" x14ac:dyDescent="0.3">
      <c r="A536" s="1852" t="s">
        <v>3086</v>
      </c>
      <c r="B536" s="1462"/>
      <c r="C536" s="1456">
        <v>6141</v>
      </c>
      <c r="D536" s="1456">
        <v>6141</v>
      </c>
      <c r="E536" s="1462"/>
      <c r="J536" s="1541">
        <f t="shared" si="32"/>
        <v>0</v>
      </c>
      <c r="K536" s="1541">
        <f t="shared" si="33"/>
        <v>6141</v>
      </c>
      <c r="L536" s="1541">
        <f t="shared" si="34"/>
        <v>6141</v>
      </c>
      <c r="M536" s="1541">
        <f t="shared" si="35"/>
        <v>0</v>
      </c>
    </row>
    <row r="537" spans="1:13" x14ac:dyDescent="0.3">
      <c r="A537" s="1852" t="s">
        <v>3087</v>
      </c>
      <c r="B537" s="1462"/>
      <c r="C537" s="1456">
        <v>1550</v>
      </c>
      <c r="D537" s="1456">
        <v>1550</v>
      </c>
      <c r="E537" s="1462"/>
      <c r="J537" s="1541">
        <f t="shared" si="32"/>
        <v>0</v>
      </c>
      <c r="K537" s="1541">
        <f t="shared" si="33"/>
        <v>1550</v>
      </c>
      <c r="L537" s="1541">
        <f t="shared" si="34"/>
        <v>1550</v>
      </c>
      <c r="M537" s="1541">
        <f t="shared" si="35"/>
        <v>0</v>
      </c>
    </row>
    <row r="538" spans="1:13" x14ac:dyDescent="0.3">
      <c r="A538" s="1852" t="s">
        <v>3089</v>
      </c>
      <c r="B538" s="1462"/>
      <c r="C538" s="1456">
        <v>200</v>
      </c>
      <c r="D538" s="1456">
        <v>200</v>
      </c>
      <c r="E538" s="1462"/>
      <c r="J538" s="1541">
        <f t="shared" si="32"/>
        <v>0</v>
      </c>
      <c r="K538" s="1541">
        <f t="shared" si="33"/>
        <v>200</v>
      </c>
      <c r="L538" s="1541">
        <f t="shared" si="34"/>
        <v>200</v>
      </c>
      <c r="M538" s="1541">
        <f t="shared" si="35"/>
        <v>0</v>
      </c>
    </row>
    <row r="539" spans="1:13" x14ac:dyDescent="0.3">
      <c r="A539" s="1852" t="s">
        <v>3090</v>
      </c>
      <c r="B539" s="1462"/>
      <c r="C539" s="1456">
        <v>1110</v>
      </c>
      <c r="D539" s="1456">
        <v>1110</v>
      </c>
      <c r="E539" s="1462"/>
      <c r="J539" s="1541">
        <f t="shared" si="32"/>
        <v>0</v>
      </c>
      <c r="K539" s="1541">
        <f t="shared" si="33"/>
        <v>1110</v>
      </c>
      <c r="L539" s="1541">
        <f t="shared" si="34"/>
        <v>1110</v>
      </c>
      <c r="M539" s="1541">
        <f t="shared" si="35"/>
        <v>0</v>
      </c>
    </row>
    <row r="540" spans="1:13" x14ac:dyDescent="0.3">
      <c r="A540" s="1855" t="s">
        <v>3091</v>
      </c>
      <c r="B540" s="1462"/>
      <c r="C540" s="1456">
        <v>48400</v>
      </c>
      <c r="D540" s="1456">
        <v>48400</v>
      </c>
      <c r="E540" s="1462"/>
      <c r="J540" s="1541">
        <f t="shared" si="32"/>
        <v>0</v>
      </c>
      <c r="K540" s="1541">
        <f t="shared" si="33"/>
        <v>48400</v>
      </c>
      <c r="L540" s="1541">
        <f t="shared" si="34"/>
        <v>48400</v>
      </c>
      <c r="M540" s="1541">
        <f t="shared" si="35"/>
        <v>0</v>
      </c>
    </row>
    <row r="541" spans="1:13" x14ac:dyDescent="0.3">
      <c r="A541" s="1855" t="s">
        <v>3093</v>
      </c>
      <c r="B541" s="1462"/>
      <c r="C541" s="1456">
        <v>2800</v>
      </c>
      <c r="D541" s="1456">
        <v>2800</v>
      </c>
      <c r="E541" s="1462"/>
      <c r="J541" s="1541">
        <f t="shared" si="32"/>
        <v>0</v>
      </c>
      <c r="K541" s="1541">
        <f t="shared" si="33"/>
        <v>2800</v>
      </c>
      <c r="L541" s="1541">
        <f t="shared" si="34"/>
        <v>2800</v>
      </c>
      <c r="M541" s="1541">
        <f t="shared" si="35"/>
        <v>0</v>
      </c>
    </row>
    <row r="542" spans="1:13" x14ac:dyDescent="0.3">
      <c r="A542" s="1852" t="s">
        <v>3094</v>
      </c>
      <c r="B542" s="1462"/>
      <c r="C542" s="1456">
        <v>53471</v>
      </c>
      <c r="D542" s="1456">
        <v>53471</v>
      </c>
      <c r="E542" s="1462"/>
      <c r="J542" s="1541">
        <f t="shared" si="32"/>
        <v>0</v>
      </c>
      <c r="K542" s="1541">
        <f t="shared" si="33"/>
        <v>53471</v>
      </c>
      <c r="L542" s="1541">
        <f t="shared" si="34"/>
        <v>53471</v>
      </c>
      <c r="M542" s="1541">
        <f t="shared" si="35"/>
        <v>0</v>
      </c>
    </row>
    <row r="543" spans="1:13" x14ac:dyDescent="0.3">
      <c r="A543" s="1855" t="s">
        <v>3095</v>
      </c>
      <c r="B543" s="1462"/>
      <c r="C543" s="1456">
        <v>960</v>
      </c>
      <c r="D543" s="1456">
        <v>960</v>
      </c>
      <c r="E543" s="1462"/>
      <c r="J543" s="1541">
        <f t="shared" si="32"/>
        <v>0</v>
      </c>
      <c r="K543" s="1541">
        <f t="shared" si="33"/>
        <v>960</v>
      </c>
      <c r="L543" s="1541">
        <f t="shared" si="34"/>
        <v>960</v>
      </c>
      <c r="M543" s="1541">
        <f t="shared" si="35"/>
        <v>0</v>
      </c>
    </row>
    <row r="544" spans="1:13" x14ac:dyDescent="0.3">
      <c r="A544" s="1852" t="s">
        <v>3096</v>
      </c>
      <c r="B544" s="1462"/>
      <c r="C544" s="1456">
        <v>540</v>
      </c>
      <c r="D544" s="1456">
        <v>540</v>
      </c>
      <c r="E544" s="1462"/>
      <c r="J544" s="1541">
        <f t="shared" si="32"/>
        <v>0</v>
      </c>
      <c r="K544" s="1541">
        <f t="shared" si="33"/>
        <v>540</v>
      </c>
      <c r="L544" s="1541">
        <f t="shared" si="34"/>
        <v>540</v>
      </c>
      <c r="M544" s="1541">
        <f t="shared" si="35"/>
        <v>0</v>
      </c>
    </row>
    <row r="545" spans="1:13" x14ac:dyDescent="0.3">
      <c r="A545" s="1852" t="s">
        <v>3097</v>
      </c>
      <c r="B545" s="1462"/>
      <c r="C545" s="1456">
        <v>331</v>
      </c>
      <c r="D545" s="1456">
        <v>331</v>
      </c>
      <c r="E545" s="1462"/>
      <c r="J545" s="1541">
        <f t="shared" si="32"/>
        <v>0</v>
      </c>
      <c r="K545" s="1541">
        <f t="shared" si="33"/>
        <v>331</v>
      </c>
      <c r="L545" s="1541">
        <f t="shared" si="34"/>
        <v>331</v>
      </c>
      <c r="M545" s="1541">
        <f t="shared" si="35"/>
        <v>0</v>
      </c>
    </row>
    <row r="546" spans="1:13" x14ac:dyDescent="0.3">
      <c r="A546" s="1852" t="s">
        <v>3098</v>
      </c>
      <c r="B546" s="1462"/>
      <c r="C546" s="1456">
        <v>280</v>
      </c>
      <c r="D546" s="1456">
        <v>280</v>
      </c>
      <c r="E546" s="1462"/>
      <c r="J546" s="1541">
        <f t="shared" ref="J546:J609" si="36">B546+F546</f>
        <v>0</v>
      </c>
      <c r="K546" s="1541">
        <f t="shared" ref="K546:K609" si="37">C546+G546</f>
        <v>280</v>
      </c>
      <c r="L546" s="1541">
        <f t="shared" ref="L546:L609" si="38">D546+H546</f>
        <v>280</v>
      </c>
      <c r="M546" s="1541">
        <f t="shared" ref="M546:M609" si="39">E546+I546</f>
        <v>0</v>
      </c>
    </row>
    <row r="547" spans="1:13" x14ac:dyDescent="0.3">
      <c r="A547" s="1852" t="s">
        <v>3099</v>
      </c>
      <c r="B547" s="1462"/>
      <c r="C547" s="1456">
        <v>540</v>
      </c>
      <c r="D547" s="1456">
        <v>540</v>
      </c>
      <c r="E547" s="1462"/>
      <c r="J547" s="1541">
        <f t="shared" si="36"/>
        <v>0</v>
      </c>
      <c r="K547" s="1541">
        <f t="shared" si="37"/>
        <v>540</v>
      </c>
      <c r="L547" s="1541">
        <f t="shared" si="38"/>
        <v>540</v>
      </c>
      <c r="M547" s="1541">
        <f t="shared" si="39"/>
        <v>0</v>
      </c>
    </row>
    <row r="548" spans="1:13" x14ac:dyDescent="0.3">
      <c r="A548" s="1852" t="s">
        <v>3100</v>
      </c>
      <c r="B548" s="1462"/>
      <c r="C548" s="1456">
        <v>506</v>
      </c>
      <c r="D548" s="1456">
        <v>506</v>
      </c>
      <c r="E548" s="1462"/>
      <c r="J548" s="1541">
        <f t="shared" si="36"/>
        <v>0</v>
      </c>
      <c r="K548" s="1541">
        <f t="shared" si="37"/>
        <v>506</v>
      </c>
      <c r="L548" s="1541">
        <f t="shared" si="38"/>
        <v>506</v>
      </c>
      <c r="M548" s="1541">
        <f t="shared" si="39"/>
        <v>0</v>
      </c>
    </row>
    <row r="549" spans="1:13" x14ac:dyDescent="0.3">
      <c r="A549" s="1852" t="s">
        <v>3101</v>
      </c>
      <c r="B549" s="1462"/>
      <c r="C549" s="1456">
        <v>2132</v>
      </c>
      <c r="D549" s="1456">
        <v>2132</v>
      </c>
      <c r="E549" s="1462"/>
      <c r="J549" s="1541">
        <f t="shared" si="36"/>
        <v>0</v>
      </c>
      <c r="K549" s="1541">
        <f t="shared" si="37"/>
        <v>2132</v>
      </c>
      <c r="L549" s="1541">
        <f t="shared" si="38"/>
        <v>2132</v>
      </c>
      <c r="M549" s="1541">
        <f t="shared" si="39"/>
        <v>0</v>
      </c>
    </row>
    <row r="550" spans="1:13" x14ac:dyDescent="0.3">
      <c r="A550" s="1852" t="s">
        <v>3102</v>
      </c>
      <c r="B550" s="1462"/>
      <c r="C550" s="1456">
        <v>3290</v>
      </c>
      <c r="D550" s="1456">
        <v>3290</v>
      </c>
      <c r="E550" s="1462"/>
      <c r="J550" s="1541">
        <f t="shared" si="36"/>
        <v>0</v>
      </c>
      <c r="K550" s="1541">
        <f t="shared" si="37"/>
        <v>3290</v>
      </c>
      <c r="L550" s="1541">
        <f t="shared" si="38"/>
        <v>3290</v>
      </c>
      <c r="M550" s="1541">
        <f t="shared" si="39"/>
        <v>0</v>
      </c>
    </row>
    <row r="551" spans="1:13" x14ac:dyDescent="0.3">
      <c r="A551" s="1852" t="s">
        <v>3103</v>
      </c>
      <c r="B551" s="1462"/>
      <c r="C551" s="1456">
        <v>8769</v>
      </c>
      <c r="D551" s="1456">
        <v>8769</v>
      </c>
      <c r="E551" s="1462"/>
      <c r="J551" s="1541">
        <f t="shared" si="36"/>
        <v>0</v>
      </c>
      <c r="K551" s="1541">
        <f t="shared" si="37"/>
        <v>8769</v>
      </c>
      <c r="L551" s="1541">
        <f t="shared" si="38"/>
        <v>8769</v>
      </c>
      <c r="M551" s="1541">
        <f t="shared" si="39"/>
        <v>0</v>
      </c>
    </row>
    <row r="552" spans="1:13" x14ac:dyDescent="0.3">
      <c r="A552" s="1852" t="s">
        <v>3104</v>
      </c>
      <c r="B552" s="1462"/>
      <c r="C552" s="1456">
        <v>792</v>
      </c>
      <c r="D552" s="1456">
        <v>792</v>
      </c>
      <c r="E552" s="1462"/>
      <c r="J552" s="1541">
        <f t="shared" si="36"/>
        <v>0</v>
      </c>
      <c r="K552" s="1541">
        <f t="shared" si="37"/>
        <v>792</v>
      </c>
      <c r="L552" s="1541">
        <f t="shared" si="38"/>
        <v>792</v>
      </c>
      <c r="M552" s="1541">
        <f t="shared" si="39"/>
        <v>0</v>
      </c>
    </row>
    <row r="553" spans="1:13" x14ac:dyDescent="0.3">
      <c r="A553" s="1852" t="s">
        <v>3106</v>
      </c>
      <c r="B553" s="1462"/>
      <c r="C553" s="1456">
        <v>1092</v>
      </c>
      <c r="D553" s="1456">
        <v>1092</v>
      </c>
      <c r="E553" s="1462"/>
      <c r="J553" s="1541">
        <f t="shared" si="36"/>
        <v>0</v>
      </c>
      <c r="K553" s="1541">
        <f t="shared" si="37"/>
        <v>1092</v>
      </c>
      <c r="L553" s="1541">
        <f t="shared" si="38"/>
        <v>1092</v>
      </c>
      <c r="M553" s="1541">
        <f t="shared" si="39"/>
        <v>0</v>
      </c>
    </row>
    <row r="554" spans="1:13" x14ac:dyDescent="0.3">
      <c r="A554" s="1852" t="s">
        <v>3107</v>
      </c>
      <c r="B554" s="1462"/>
      <c r="C554" s="1456">
        <v>1768</v>
      </c>
      <c r="D554" s="1456">
        <v>1768</v>
      </c>
      <c r="E554" s="1462"/>
      <c r="J554" s="1541">
        <f t="shared" si="36"/>
        <v>0</v>
      </c>
      <c r="K554" s="1541">
        <f t="shared" si="37"/>
        <v>1768</v>
      </c>
      <c r="L554" s="1541">
        <f t="shared" si="38"/>
        <v>1768</v>
      </c>
      <c r="M554" s="1541">
        <f t="shared" si="39"/>
        <v>0</v>
      </c>
    </row>
    <row r="555" spans="1:13" x14ac:dyDescent="0.3">
      <c r="A555" s="1852" t="s">
        <v>3108</v>
      </c>
      <c r="B555" s="1462"/>
      <c r="C555" s="1456">
        <v>280</v>
      </c>
      <c r="D555" s="1456">
        <v>280</v>
      </c>
      <c r="E555" s="1462"/>
      <c r="J555" s="1541">
        <f t="shared" si="36"/>
        <v>0</v>
      </c>
      <c r="K555" s="1541">
        <f t="shared" si="37"/>
        <v>280</v>
      </c>
      <c r="L555" s="1541">
        <f t="shared" si="38"/>
        <v>280</v>
      </c>
      <c r="M555" s="1541">
        <f t="shared" si="39"/>
        <v>0</v>
      </c>
    </row>
    <row r="556" spans="1:13" x14ac:dyDescent="0.3">
      <c r="A556" s="1852" t="s">
        <v>3109</v>
      </c>
      <c r="B556" s="1462"/>
      <c r="C556" s="1456">
        <v>2100</v>
      </c>
      <c r="D556" s="1456">
        <v>2100</v>
      </c>
      <c r="E556" s="1462"/>
      <c r="J556" s="1541">
        <f t="shared" si="36"/>
        <v>0</v>
      </c>
      <c r="K556" s="1541">
        <f t="shared" si="37"/>
        <v>2100</v>
      </c>
      <c r="L556" s="1541">
        <f t="shared" si="38"/>
        <v>2100</v>
      </c>
      <c r="M556" s="1541">
        <f t="shared" si="39"/>
        <v>0</v>
      </c>
    </row>
    <row r="557" spans="1:13" x14ac:dyDescent="0.3">
      <c r="A557" s="1855" t="s">
        <v>3110</v>
      </c>
      <c r="B557" s="1462"/>
      <c r="C557" s="1456">
        <v>20350</v>
      </c>
      <c r="D557" s="1456">
        <v>20350</v>
      </c>
      <c r="E557" s="1462"/>
      <c r="J557" s="1541">
        <f t="shared" si="36"/>
        <v>0</v>
      </c>
      <c r="K557" s="1541">
        <f t="shared" si="37"/>
        <v>20350</v>
      </c>
      <c r="L557" s="1541">
        <f t="shared" si="38"/>
        <v>20350</v>
      </c>
      <c r="M557" s="1541">
        <f t="shared" si="39"/>
        <v>0</v>
      </c>
    </row>
    <row r="558" spans="1:13" x14ac:dyDescent="0.3">
      <c r="A558" s="1852" t="s">
        <v>3111</v>
      </c>
      <c r="B558" s="1462"/>
      <c r="C558" s="1456">
        <v>2006</v>
      </c>
      <c r="D558" s="1456">
        <v>2006</v>
      </c>
      <c r="E558" s="1462"/>
      <c r="J558" s="1541">
        <f t="shared" si="36"/>
        <v>0</v>
      </c>
      <c r="K558" s="1541">
        <f t="shared" si="37"/>
        <v>2006</v>
      </c>
      <c r="L558" s="1541">
        <f t="shared" si="38"/>
        <v>2006</v>
      </c>
      <c r="M558" s="1541">
        <f t="shared" si="39"/>
        <v>0</v>
      </c>
    </row>
    <row r="559" spans="1:13" x14ac:dyDescent="0.3">
      <c r="A559" s="1852" t="s">
        <v>3112</v>
      </c>
      <c r="B559" s="1462"/>
      <c r="C559" s="1456">
        <v>1440</v>
      </c>
      <c r="D559" s="1456">
        <v>1440</v>
      </c>
      <c r="E559" s="1462"/>
      <c r="J559" s="1541">
        <f t="shared" si="36"/>
        <v>0</v>
      </c>
      <c r="K559" s="1541">
        <f t="shared" si="37"/>
        <v>1440</v>
      </c>
      <c r="L559" s="1541">
        <f t="shared" si="38"/>
        <v>1440</v>
      </c>
      <c r="M559" s="1541">
        <f t="shared" si="39"/>
        <v>0</v>
      </c>
    </row>
    <row r="560" spans="1:13" x14ac:dyDescent="0.3">
      <c r="A560" s="1852" t="s">
        <v>3113</v>
      </c>
      <c r="B560" s="1462"/>
      <c r="C560" s="1456">
        <v>6060</v>
      </c>
      <c r="D560" s="1456">
        <v>6060</v>
      </c>
      <c r="E560" s="1462"/>
      <c r="J560" s="1541">
        <f t="shared" si="36"/>
        <v>0</v>
      </c>
      <c r="K560" s="1541">
        <f t="shared" si="37"/>
        <v>6060</v>
      </c>
      <c r="L560" s="1541">
        <f t="shared" si="38"/>
        <v>6060</v>
      </c>
      <c r="M560" s="1541">
        <f t="shared" si="39"/>
        <v>0</v>
      </c>
    </row>
    <row r="561" spans="1:13" x14ac:dyDescent="0.3">
      <c r="A561" s="1852" t="s">
        <v>3114</v>
      </c>
      <c r="B561" s="1462"/>
      <c r="C561" s="1456">
        <v>3558</v>
      </c>
      <c r="D561" s="1456">
        <v>3558</v>
      </c>
      <c r="E561" s="1462"/>
      <c r="J561" s="1541">
        <f t="shared" si="36"/>
        <v>0</v>
      </c>
      <c r="K561" s="1541">
        <f t="shared" si="37"/>
        <v>3558</v>
      </c>
      <c r="L561" s="1541">
        <f t="shared" si="38"/>
        <v>3558</v>
      </c>
      <c r="M561" s="1541">
        <f t="shared" si="39"/>
        <v>0</v>
      </c>
    </row>
    <row r="562" spans="1:13" x14ac:dyDescent="0.3">
      <c r="A562" s="1852" t="s">
        <v>3115</v>
      </c>
      <c r="B562" s="1462"/>
      <c r="C562" s="1456">
        <v>140</v>
      </c>
      <c r="D562" s="1456">
        <v>140</v>
      </c>
      <c r="E562" s="1462"/>
      <c r="J562" s="1541">
        <f t="shared" si="36"/>
        <v>0</v>
      </c>
      <c r="K562" s="1541">
        <f t="shared" si="37"/>
        <v>140</v>
      </c>
      <c r="L562" s="1541">
        <f t="shared" si="38"/>
        <v>140</v>
      </c>
      <c r="M562" s="1541">
        <f t="shared" si="39"/>
        <v>0</v>
      </c>
    </row>
    <row r="563" spans="1:13" x14ac:dyDescent="0.3">
      <c r="A563" s="1852" t="s">
        <v>3116</v>
      </c>
      <c r="B563" s="1462"/>
      <c r="C563" s="1456">
        <v>560</v>
      </c>
      <c r="D563" s="1456">
        <v>560</v>
      </c>
      <c r="E563" s="1462"/>
      <c r="J563" s="1541">
        <f t="shared" si="36"/>
        <v>0</v>
      </c>
      <c r="K563" s="1541">
        <f t="shared" si="37"/>
        <v>560</v>
      </c>
      <c r="L563" s="1541">
        <f t="shared" si="38"/>
        <v>560</v>
      </c>
      <c r="M563" s="1541">
        <f t="shared" si="39"/>
        <v>0</v>
      </c>
    </row>
    <row r="564" spans="1:13" x14ac:dyDescent="0.3">
      <c r="A564" s="1852" t="s">
        <v>3117</v>
      </c>
      <c r="B564" s="1462"/>
      <c r="C564" s="1456">
        <v>35210</v>
      </c>
      <c r="D564" s="1456">
        <v>35210</v>
      </c>
      <c r="E564" s="1462"/>
      <c r="J564" s="1541">
        <f t="shared" si="36"/>
        <v>0</v>
      </c>
      <c r="K564" s="1541">
        <f t="shared" si="37"/>
        <v>35210</v>
      </c>
      <c r="L564" s="1541">
        <f t="shared" si="38"/>
        <v>35210</v>
      </c>
      <c r="M564" s="1541">
        <f t="shared" si="39"/>
        <v>0</v>
      </c>
    </row>
    <row r="565" spans="1:13" x14ac:dyDescent="0.3">
      <c r="A565" s="1852" t="s">
        <v>3118</v>
      </c>
      <c r="B565" s="1462"/>
      <c r="C565" s="1456">
        <v>2190</v>
      </c>
      <c r="D565" s="1456">
        <v>2190</v>
      </c>
      <c r="E565" s="1462"/>
      <c r="J565" s="1541">
        <f t="shared" si="36"/>
        <v>0</v>
      </c>
      <c r="K565" s="1541">
        <f t="shared" si="37"/>
        <v>2190</v>
      </c>
      <c r="L565" s="1541">
        <f t="shared" si="38"/>
        <v>2190</v>
      </c>
      <c r="M565" s="1541">
        <f t="shared" si="39"/>
        <v>0</v>
      </c>
    </row>
    <row r="566" spans="1:13" x14ac:dyDescent="0.3">
      <c r="A566" s="1852" t="s">
        <v>3119</v>
      </c>
      <c r="B566" s="1462"/>
      <c r="C566" s="1456">
        <v>786</v>
      </c>
      <c r="D566" s="1456">
        <v>786</v>
      </c>
      <c r="E566" s="1462"/>
      <c r="J566" s="1541">
        <f t="shared" si="36"/>
        <v>0</v>
      </c>
      <c r="K566" s="1541">
        <f t="shared" si="37"/>
        <v>786</v>
      </c>
      <c r="L566" s="1541">
        <f t="shared" si="38"/>
        <v>786</v>
      </c>
      <c r="M566" s="1541">
        <f t="shared" si="39"/>
        <v>0</v>
      </c>
    </row>
    <row r="567" spans="1:13" x14ac:dyDescent="0.3">
      <c r="A567" s="1852" t="s">
        <v>3120</v>
      </c>
      <c r="B567" s="1462"/>
      <c r="C567" s="1456">
        <v>15428</v>
      </c>
      <c r="D567" s="1456">
        <v>15428</v>
      </c>
      <c r="E567" s="1462"/>
      <c r="J567" s="1541">
        <f t="shared" si="36"/>
        <v>0</v>
      </c>
      <c r="K567" s="1541">
        <f t="shared" si="37"/>
        <v>15428</v>
      </c>
      <c r="L567" s="1541">
        <f t="shared" si="38"/>
        <v>15428</v>
      </c>
      <c r="M567" s="1541">
        <f t="shared" si="39"/>
        <v>0</v>
      </c>
    </row>
    <row r="568" spans="1:13" x14ac:dyDescent="0.3">
      <c r="A568" s="1852" t="s">
        <v>3121</v>
      </c>
      <c r="B568" s="1462"/>
      <c r="C568" s="1456">
        <v>446</v>
      </c>
      <c r="D568" s="1456">
        <v>446</v>
      </c>
      <c r="E568" s="1462"/>
      <c r="J568" s="1541">
        <f t="shared" si="36"/>
        <v>0</v>
      </c>
      <c r="K568" s="1541">
        <f t="shared" si="37"/>
        <v>446</v>
      </c>
      <c r="L568" s="1541">
        <f t="shared" si="38"/>
        <v>446</v>
      </c>
      <c r="M568" s="1541">
        <f t="shared" si="39"/>
        <v>0</v>
      </c>
    </row>
    <row r="569" spans="1:13" x14ac:dyDescent="0.3">
      <c r="A569" s="1852" t="s">
        <v>3122</v>
      </c>
      <c r="B569" s="1462"/>
      <c r="C569" s="1456">
        <v>3325</v>
      </c>
      <c r="D569" s="1456">
        <v>3325</v>
      </c>
      <c r="E569" s="1462"/>
      <c r="J569" s="1541">
        <f t="shared" si="36"/>
        <v>0</v>
      </c>
      <c r="K569" s="1541">
        <f t="shared" si="37"/>
        <v>3325</v>
      </c>
      <c r="L569" s="1541">
        <f t="shared" si="38"/>
        <v>3325</v>
      </c>
      <c r="M569" s="1541">
        <f t="shared" si="39"/>
        <v>0</v>
      </c>
    </row>
    <row r="570" spans="1:13" x14ac:dyDescent="0.3">
      <c r="A570" s="1855" t="s">
        <v>3123</v>
      </c>
      <c r="B570" s="1462"/>
      <c r="C570" s="1456">
        <v>1768</v>
      </c>
      <c r="D570" s="1456">
        <v>1768</v>
      </c>
      <c r="E570" s="1462"/>
      <c r="J570" s="1541">
        <f t="shared" si="36"/>
        <v>0</v>
      </c>
      <c r="K570" s="1541">
        <f t="shared" si="37"/>
        <v>1768</v>
      </c>
      <c r="L570" s="1541">
        <f t="shared" si="38"/>
        <v>1768</v>
      </c>
      <c r="M570" s="1541">
        <f t="shared" si="39"/>
        <v>0</v>
      </c>
    </row>
    <row r="571" spans="1:13" x14ac:dyDescent="0.3">
      <c r="A571" s="1855" t="s">
        <v>3124</v>
      </c>
      <c r="B571" s="1462"/>
      <c r="C571" s="1456">
        <v>1472</v>
      </c>
      <c r="D571" s="1456">
        <v>1472</v>
      </c>
      <c r="E571" s="1462"/>
      <c r="J571" s="1541">
        <f t="shared" si="36"/>
        <v>0</v>
      </c>
      <c r="K571" s="1541">
        <f t="shared" si="37"/>
        <v>1472</v>
      </c>
      <c r="L571" s="1541">
        <f t="shared" si="38"/>
        <v>1472</v>
      </c>
      <c r="M571" s="1541">
        <f t="shared" si="39"/>
        <v>0</v>
      </c>
    </row>
    <row r="572" spans="1:13" x14ac:dyDescent="0.3">
      <c r="A572" s="1852" t="s">
        <v>3125</v>
      </c>
      <c r="B572" s="1462"/>
      <c r="C572" s="1456">
        <v>332</v>
      </c>
      <c r="D572" s="1456">
        <v>332</v>
      </c>
      <c r="E572" s="1462"/>
      <c r="J572" s="1541">
        <f t="shared" si="36"/>
        <v>0</v>
      </c>
      <c r="K572" s="1541">
        <f t="shared" si="37"/>
        <v>332</v>
      </c>
      <c r="L572" s="1541">
        <f t="shared" si="38"/>
        <v>332</v>
      </c>
      <c r="M572" s="1541">
        <f t="shared" si="39"/>
        <v>0</v>
      </c>
    </row>
    <row r="573" spans="1:13" x14ac:dyDescent="0.3">
      <c r="A573" s="1855" t="s">
        <v>3126</v>
      </c>
      <c r="B573" s="1462"/>
      <c r="C573" s="1456">
        <v>560</v>
      </c>
      <c r="D573" s="1456">
        <v>560</v>
      </c>
      <c r="E573" s="1462"/>
      <c r="J573" s="1541">
        <f t="shared" si="36"/>
        <v>0</v>
      </c>
      <c r="K573" s="1541">
        <f t="shared" si="37"/>
        <v>560</v>
      </c>
      <c r="L573" s="1541">
        <f t="shared" si="38"/>
        <v>560</v>
      </c>
      <c r="M573" s="1541">
        <f t="shared" si="39"/>
        <v>0</v>
      </c>
    </row>
    <row r="574" spans="1:13" x14ac:dyDescent="0.3">
      <c r="A574" s="1855" t="s">
        <v>3127</v>
      </c>
      <c r="B574" s="1462"/>
      <c r="C574" s="1456">
        <v>10114</v>
      </c>
      <c r="D574" s="1456">
        <v>10114</v>
      </c>
      <c r="E574" s="1462"/>
      <c r="J574" s="1541">
        <f t="shared" si="36"/>
        <v>0</v>
      </c>
      <c r="K574" s="1541">
        <f t="shared" si="37"/>
        <v>10114</v>
      </c>
      <c r="L574" s="1541">
        <f t="shared" si="38"/>
        <v>10114</v>
      </c>
      <c r="M574" s="1541">
        <f t="shared" si="39"/>
        <v>0</v>
      </c>
    </row>
    <row r="575" spans="1:13" x14ac:dyDescent="0.3">
      <c r="A575" s="1855" t="s">
        <v>3128</v>
      </c>
      <c r="B575" s="1462"/>
      <c r="C575" s="1456">
        <v>1562</v>
      </c>
      <c r="D575" s="1456">
        <v>1562</v>
      </c>
      <c r="E575" s="1462"/>
      <c r="J575" s="1541">
        <f t="shared" si="36"/>
        <v>0</v>
      </c>
      <c r="K575" s="1541">
        <f t="shared" si="37"/>
        <v>1562</v>
      </c>
      <c r="L575" s="1541">
        <f t="shared" si="38"/>
        <v>1562</v>
      </c>
      <c r="M575" s="1541">
        <f t="shared" si="39"/>
        <v>0</v>
      </c>
    </row>
    <row r="576" spans="1:13" x14ac:dyDescent="0.3">
      <c r="A576" s="1852" t="s">
        <v>3129</v>
      </c>
      <c r="B576" s="1462"/>
      <c r="C576" s="1456">
        <v>357</v>
      </c>
      <c r="D576" s="1456">
        <v>357</v>
      </c>
      <c r="E576" s="1462"/>
      <c r="J576" s="1541">
        <f t="shared" si="36"/>
        <v>0</v>
      </c>
      <c r="K576" s="1541">
        <f t="shared" si="37"/>
        <v>357</v>
      </c>
      <c r="L576" s="1541">
        <f t="shared" si="38"/>
        <v>357</v>
      </c>
      <c r="M576" s="1541">
        <f t="shared" si="39"/>
        <v>0</v>
      </c>
    </row>
    <row r="577" spans="1:13" x14ac:dyDescent="0.3">
      <c r="A577" s="1855" t="s">
        <v>3130</v>
      </c>
      <c r="B577" s="1462"/>
      <c r="C577" s="1456">
        <v>70615</v>
      </c>
      <c r="D577" s="1456">
        <v>70615</v>
      </c>
      <c r="E577" s="1462"/>
      <c r="J577" s="1541">
        <f t="shared" si="36"/>
        <v>0</v>
      </c>
      <c r="K577" s="1541">
        <f t="shared" si="37"/>
        <v>70615</v>
      </c>
      <c r="L577" s="1541">
        <f t="shared" si="38"/>
        <v>70615</v>
      </c>
      <c r="M577" s="1541">
        <f t="shared" si="39"/>
        <v>0</v>
      </c>
    </row>
    <row r="578" spans="1:13" x14ac:dyDescent="0.3">
      <c r="A578" s="1852" t="s">
        <v>3131</v>
      </c>
      <c r="B578" s="1462"/>
      <c r="C578" s="1456">
        <v>66276</v>
      </c>
      <c r="D578" s="1456">
        <v>66276</v>
      </c>
      <c r="E578" s="1462"/>
      <c r="J578" s="1541">
        <f t="shared" si="36"/>
        <v>0</v>
      </c>
      <c r="K578" s="1541">
        <f t="shared" si="37"/>
        <v>66276</v>
      </c>
      <c r="L578" s="1541">
        <f t="shared" si="38"/>
        <v>66276</v>
      </c>
      <c r="M578" s="1541">
        <f t="shared" si="39"/>
        <v>0</v>
      </c>
    </row>
    <row r="579" spans="1:13" x14ac:dyDescent="0.3">
      <c r="A579" s="1855" t="s">
        <v>3132</v>
      </c>
      <c r="B579" s="1462"/>
      <c r="C579" s="1456">
        <v>875</v>
      </c>
      <c r="D579" s="1456">
        <v>875</v>
      </c>
      <c r="E579" s="1462"/>
      <c r="J579" s="1541">
        <f t="shared" si="36"/>
        <v>0</v>
      </c>
      <c r="K579" s="1541">
        <f t="shared" si="37"/>
        <v>875</v>
      </c>
      <c r="L579" s="1541">
        <f t="shared" si="38"/>
        <v>875</v>
      </c>
      <c r="M579" s="1541">
        <f t="shared" si="39"/>
        <v>0</v>
      </c>
    </row>
    <row r="580" spans="1:13" x14ac:dyDescent="0.3">
      <c r="A580" s="1852" t="s">
        <v>3133</v>
      </c>
      <c r="B580" s="1462"/>
      <c r="C580" s="1456">
        <v>1106</v>
      </c>
      <c r="D580" s="1456">
        <v>1106</v>
      </c>
      <c r="E580" s="1462"/>
      <c r="J580" s="1541">
        <f t="shared" si="36"/>
        <v>0</v>
      </c>
      <c r="K580" s="1541">
        <f t="shared" si="37"/>
        <v>1106</v>
      </c>
      <c r="L580" s="1541">
        <f t="shared" si="38"/>
        <v>1106</v>
      </c>
      <c r="M580" s="1541">
        <f t="shared" si="39"/>
        <v>0</v>
      </c>
    </row>
    <row r="581" spans="1:13" x14ac:dyDescent="0.3">
      <c r="A581" s="1855" t="s">
        <v>3134</v>
      </c>
      <c r="B581" s="1462"/>
      <c r="C581" s="1456">
        <v>200</v>
      </c>
      <c r="D581" s="1456">
        <v>200</v>
      </c>
      <c r="E581" s="1462"/>
      <c r="J581" s="1541">
        <f t="shared" si="36"/>
        <v>0</v>
      </c>
      <c r="K581" s="1541">
        <f t="shared" si="37"/>
        <v>200</v>
      </c>
      <c r="L581" s="1541">
        <f t="shared" si="38"/>
        <v>200</v>
      </c>
      <c r="M581" s="1541">
        <f t="shared" si="39"/>
        <v>0</v>
      </c>
    </row>
    <row r="582" spans="1:13" x14ac:dyDescent="0.3">
      <c r="A582" s="1852" t="s">
        <v>3135</v>
      </c>
      <c r="B582" s="1462"/>
      <c r="C582" s="1456">
        <v>1832</v>
      </c>
      <c r="D582" s="1456">
        <v>1832</v>
      </c>
      <c r="E582" s="1462"/>
      <c r="J582" s="1541">
        <f t="shared" si="36"/>
        <v>0</v>
      </c>
      <c r="K582" s="1541">
        <f t="shared" si="37"/>
        <v>1832</v>
      </c>
      <c r="L582" s="1541">
        <f t="shared" si="38"/>
        <v>1832</v>
      </c>
      <c r="M582" s="1541">
        <f t="shared" si="39"/>
        <v>0</v>
      </c>
    </row>
    <row r="583" spans="1:13" x14ac:dyDescent="0.3">
      <c r="A583" s="1855" t="s">
        <v>3136</v>
      </c>
      <c r="B583" s="1462"/>
      <c r="C583" s="1456">
        <v>1740</v>
      </c>
      <c r="D583" s="1456">
        <v>1740</v>
      </c>
      <c r="E583" s="1462"/>
      <c r="J583" s="1541">
        <f t="shared" si="36"/>
        <v>0</v>
      </c>
      <c r="K583" s="1541">
        <f t="shared" si="37"/>
        <v>1740</v>
      </c>
      <c r="L583" s="1541">
        <f t="shared" si="38"/>
        <v>1740</v>
      </c>
      <c r="M583" s="1541">
        <f t="shared" si="39"/>
        <v>0</v>
      </c>
    </row>
    <row r="584" spans="1:13" x14ac:dyDescent="0.3">
      <c r="A584" s="1852" t="s">
        <v>3137</v>
      </c>
      <c r="B584" s="1462"/>
      <c r="C584" s="1456">
        <v>1650</v>
      </c>
      <c r="D584" s="1456">
        <v>1650</v>
      </c>
      <c r="E584" s="1462"/>
      <c r="J584" s="1541">
        <f t="shared" si="36"/>
        <v>0</v>
      </c>
      <c r="K584" s="1541">
        <f t="shared" si="37"/>
        <v>1650</v>
      </c>
      <c r="L584" s="1541">
        <f t="shared" si="38"/>
        <v>1650</v>
      </c>
      <c r="M584" s="1541">
        <f t="shared" si="39"/>
        <v>0</v>
      </c>
    </row>
    <row r="585" spans="1:13" x14ac:dyDescent="0.3">
      <c r="A585" s="1855" t="s">
        <v>3138</v>
      </c>
      <c r="B585" s="1462"/>
      <c r="C585" s="1456">
        <v>540</v>
      </c>
      <c r="D585" s="1456">
        <v>540</v>
      </c>
      <c r="E585" s="1462"/>
      <c r="J585" s="1541">
        <f t="shared" si="36"/>
        <v>0</v>
      </c>
      <c r="K585" s="1541">
        <f t="shared" si="37"/>
        <v>540</v>
      </c>
      <c r="L585" s="1541">
        <f t="shared" si="38"/>
        <v>540</v>
      </c>
      <c r="M585" s="1541">
        <f t="shared" si="39"/>
        <v>0</v>
      </c>
    </row>
    <row r="586" spans="1:13" x14ac:dyDescent="0.3">
      <c r="A586" s="1855" t="s">
        <v>3139</v>
      </c>
      <c r="B586" s="1462"/>
      <c r="C586" s="1456">
        <v>15593</v>
      </c>
      <c r="D586" s="1456">
        <v>15593</v>
      </c>
      <c r="E586" s="1462"/>
      <c r="J586" s="1541">
        <f t="shared" si="36"/>
        <v>0</v>
      </c>
      <c r="K586" s="1541">
        <f t="shared" si="37"/>
        <v>15593</v>
      </c>
      <c r="L586" s="1541">
        <f t="shared" si="38"/>
        <v>15593</v>
      </c>
      <c r="M586" s="1541">
        <f t="shared" si="39"/>
        <v>0</v>
      </c>
    </row>
    <row r="587" spans="1:13" x14ac:dyDescent="0.3">
      <c r="A587" s="1852" t="s">
        <v>3140</v>
      </c>
      <c r="B587" s="1462"/>
      <c r="C587" s="1456">
        <v>1193</v>
      </c>
      <c r="D587" s="1456">
        <v>1193</v>
      </c>
      <c r="E587" s="1462"/>
      <c r="J587" s="1541">
        <f t="shared" si="36"/>
        <v>0</v>
      </c>
      <c r="K587" s="1541">
        <f t="shared" si="37"/>
        <v>1193</v>
      </c>
      <c r="L587" s="1541">
        <f t="shared" si="38"/>
        <v>1193</v>
      </c>
      <c r="M587" s="1541">
        <f t="shared" si="39"/>
        <v>0</v>
      </c>
    </row>
    <row r="588" spans="1:13" x14ac:dyDescent="0.3">
      <c r="A588" s="1852" t="s">
        <v>3141</v>
      </c>
      <c r="B588" s="1462"/>
      <c r="C588" s="1456">
        <v>1706</v>
      </c>
      <c r="D588" s="1456">
        <v>1706</v>
      </c>
      <c r="E588" s="1462"/>
      <c r="J588" s="1541">
        <f t="shared" si="36"/>
        <v>0</v>
      </c>
      <c r="K588" s="1541">
        <f t="shared" si="37"/>
        <v>1706</v>
      </c>
      <c r="L588" s="1541">
        <f t="shared" si="38"/>
        <v>1706</v>
      </c>
      <c r="M588" s="1541">
        <f t="shared" si="39"/>
        <v>0</v>
      </c>
    </row>
    <row r="589" spans="1:13" x14ac:dyDescent="0.3">
      <c r="A589" s="1852" t="s">
        <v>3142</v>
      </c>
      <c r="B589" s="1462"/>
      <c r="C589" s="1456">
        <v>840</v>
      </c>
      <c r="D589" s="1456">
        <v>840</v>
      </c>
      <c r="E589" s="1462"/>
      <c r="J589" s="1541">
        <f t="shared" si="36"/>
        <v>0</v>
      </c>
      <c r="K589" s="1541">
        <f t="shared" si="37"/>
        <v>840</v>
      </c>
      <c r="L589" s="1541">
        <f t="shared" si="38"/>
        <v>840</v>
      </c>
      <c r="M589" s="1541">
        <f t="shared" si="39"/>
        <v>0</v>
      </c>
    </row>
    <row r="590" spans="1:13" x14ac:dyDescent="0.3">
      <c r="A590" s="1852" t="s">
        <v>3143</v>
      </c>
      <c r="B590" s="1462"/>
      <c r="C590" s="1456">
        <v>4802</v>
      </c>
      <c r="D590" s="1456">
        <v>4802</v>
      </c>
      <c r="E590" s="1462"/>
      <c r="J590" s="1541">
        <f t="shared" si="36"/>
        <v>0</v>
      </c>
      <c r="K590" s="1541">
        <f t="shared" si="37"/>
        <v>4802</v>
      </c>
      <c r="L590" s="1541">
        <f t="shared" si="38"/>
        <v>4802</v>
      </c>
      <c r="M590" s="1541">
        <f t="shared" si="39"/>
        <v>0</v>
      </c>
    </row>
    <row r="591" spans="1:13" x14ac:dyDescent="0.3">
      <c r="A591" s="1852" t="s">
        <v>3144</v>
      </c>
      <c r="B591" s="1462"/>
      <c r="C591" s="1456">
        <v>980</v>
      </c>
      <c r="D591" s="1456">
        <v>980</v>
      </c>
      <c r="E591" s="1462"/>
      <c r="J591" s="1541">
        <f t="shared" si="36"/>
        <v>0</v>
      </c>
      <c r="K591" s="1541">
        <f t="shared" si="37"/>
        <v>980</v>
      </c>
      <c r="L591" s="1541">
        <f t="shared" si="38"/>
        <v>980</v>
      </c>
      <c r="M591" s="1541">
        <f t="shared" si="39"/>
        <v>0</v>
      </c>
    </row>
    <row r="592" spans="1:13" x14ac:dyDescent="0.3">
      <c r="A592" s="1852" t="s">
        <v>3145</v>
      </c>
      <c r="B592" s="1462"/>
      <c r="C592" s="1456">
        <v>1700</v>
      </c>
      <c r="D592" s="1456">
        <v>1700</v>
      </c>
      <c r="E592" s="1462"/>
      <c r="J592" s="1541">
        <f t="shared" si="36"/>
        <v>0</v>
      </c>
      <c r="K592" s="1541">
        <f t="shared" si="37"/>
        <v>1700</v>
      </c>
      <c r="L592" s="1541">
        <f t="shared" si="38"/>
        <v>1700</v>
      </c>
      <c r="M592" s="1541">
        <f t="shared" si="39"/>
        <v>0</v>
      </c>
    </row>
    <row r="593" spans="1:13" x14ac:dyDescent="0.3">
      <c r="A593" s="1852" t="s">
        <v>3146</v>
      </c>
      <c r="B593" s="1462"/>
      <c r="C593" s="1456">
        <v>498</v>
      </c>
      <c r="D593" s="1456">
        <v>498</v>
      </c>
      <c r="E593" s="1462"/>
      <c r="J593" s="1541">
        <f t="shared" si="36"/>
        <v>0</v>
      </c>
      <c r="K593" s="1541">
        <f t="shared" si="37"/>
        <v>498</v>
      </c>
      <c r="L593" s="1541">
        <f t="shared" si="38"/>
        <v>498</v>
      </c>
      <c r="M593" s="1541">
        <f t="shared" si="39"/>
        <v>0</v>
      </c>
    </row>
    <row r="594" spans="1:13" x14ac:dyDescent="0.3">
      <c r="A594" s="1855" t="s">
        <v>3147</v>
      </c>
      <c r="B594" s="1462"/>
      <c r="C594" s="1456">
        <v>2678</v>
      </c>
      <c r="D594" s="1456">
        <v>2678</v>
      </c>
      <c r="E594" s="1462"/>
      <c r="J594" s="1541">
        <f t="shared" si="36"/>
        <v>0</v>
      </c>
      <c r="K594" s="1541">
        <f t="shared" si="37"/>
        <v>2678</v>
      </c>
      <c r="L594" s="1541">
        <f t="shared" si="38"/>
        <v>2678</v>
      </c>
      <c r="M594" s="1541">
        <f t="shared" si="39"/>
        <v>0</v>
      </c>
    </row>
    <row r="595" spans="1:13" x14ac:dyDescent="0.3">
      <c r="A595" s="1855" t="s">
        <v>3148</v>
      </c>
      <c r="B595" s="1462"/>
      <c r="C595" s="1456">
        <v>280</v>
      </c>
      <c r="D595" s="1456">
        <v>280</v>
      </c>
      <c r="E595" s="1462"/>
      <c r="J595" s="1541">
        <f t="shared" si="36"/>
        <v>0</v>
      </c>
      <c r="K595" s="1541">
        <f t="shared" si="37"/>
        <v>280</v>
      </c>
      <c r="L595" s="1541">
        <f t="shared" si="38"/>
        <v>280</v>
      </c>
      <c r="M595" s="1541">
        <f t="shared" si="39"/>
        <v>0</v>
      </c>
    </row>
    <row r="596" spans="1:13" x14ac:dyDescent="0.3">
      <c r="A596" s="1852" t="s">
        <v>3149</v>
      </c>
      <c r="B596" s="1462"/>
      <c r="C596" s="1456">
        <v>306</v>
      </c>
      <c r="D596" s="1456">
        <v>306</v>
      </c>
      <c r="E596" s="1462"/>
      <c r="J596" s="1541">
        <f t="shared" si="36"/>
        <v>0</v>
      </c>
      <c r="K596" s="1541">
        <f t="shared" si="37"/>
        <v>306</v>
      </c>
      <c r="L596" s="1541">
        <f t="shared" si="38"/>
        <v>306</v>
      </c>
      <c r="M596" s="1541">
        <f t="shared" si="39"/>
        <v>0</v>
      </c>
    </row>
    <row r="597" spans="1:13" x14ac:dyDescent="0.3">
      <c r="A597" s="1852" t="s">
        <v>3150</v>
      </c>
      <c r="B597" s="1462"/>
      <c r="C597" s="1456">
        <v>700</v>
      </c>
      <c r="D597" s="1456">
        <v>700</v>
      </c>
      <c r="E597" s="1462"/>
      <c r="J597" s="1541">
        <f t="shared" si="36"/>
        <v>0</v>
      </c>
      <c r="K597" s="1541">
        <f t="shared" si="37"/>
        <v>700</v>
      </c>
      <c r="L597" s="1541">
        <f t="shared" si="38"/>
        <v>700</v>
      </c>
      <c r="M597" s="1541">
        <f t="shared" si="39"/>
        <v>0</v>
      </c>
    </row>
    <row r="598" spans="1:13" x14ac:dyDescent="0.3">
      <c r="A598" s="1852" t="s">
        <v>3152</v>
      </c>
      <c r="B598" s="1462"/>
      <c r="C598" s="1456">
        <v>190</v>
      </c>
      <c r="D598" s="1456">
        <v>190</v>
      </c>
      <c r="E598" s="1462"/>
      <c r="J598" s="1541">
        <f t="shared" si="36"/>
        <v>0</v>
      </c>
      <c r="K598" s="1541">
        <f t="shared" si="37"/>
        <v>190</v>
      </c>
      <c r="L598" s="1541">
        <f t="shared" si="38"/>
        <v>190</v>
      </c>
      <c r="M598" s="1541">
        <f t="shared" si="39"/>
        <v>0</v>
      </c>
    </row>
    <row r="599" spans="1:13" x14ac:dyDescent="0.3">
      <c r="A599" s="1852" t="s">
        <v>3153</v>
      </c>
      <c r="B599" s="1462"/>
      <c r="C599" s="1456">
        <v>20150</v>
      </c>
      <c r="D599" s="1456">
        <v>20150</v>
      </c>
      <c r="E599" s="1462"/>
      <c r="J599" s="1541">
        <f t="shared" si="36"/>
        <v>0</v>
      </c>
      <c r="K599" s="1541">
        <f t="shared" si="37"/>
        <v>20150</v>
      </c>
      <c r="L599" s="1541">
        <f t="shared" si="38"/>
        <v>20150</v>
      </c>
      <c r="M599" s="1541">
        <f t="shared" si="39"/>
        <v>0</v>
      </c>
    </row>
    <row r="600" spans="1:13" x14ac:dyDescent="0.3">
      <c r="A600" s="1852" t="s">
        <v>3154</v>
      </c>
      <c r="B600" s="1462"/>
      <c r="C600" s="1456">
        <v>510</v>
      </c>
      <c r="D600" s="1456">
        <v>510</v>
      </c>
      <c r="E600" s="1462"/>
      <c r="J600" s="1541">
        <f t="shared" si="36"/>
        <v>0</v>
      </c>
      <c r="K600" s="1541">
        <f t="shared" si="37"/>
        <v>510</v>
      </c>
      <c r="L600" s="1541">
        <f t="shared" si="38"/>
        <v>510</v>
      </c>
      <c r="M600" s="1541">
        <f t="shared" si="39"/>
        <v>0</v>
      </c>
    </row>
    <row r="601" spans="1:13" x14ac:dyDescent="0.3">
      <c r="A601" s="1855" t="s">
        <v>3155</v>
      </c>
      <c r="B601" s="1462"/>
      <c r="C601" s="1456">
        <v>8000</v>
      </c>
      <c r="D601" s="1456">
        <v>8000</v>
      </c>
      <c r="E601" s="1462"/>
      <c r="J601" s="1541">
        <f t="shared" si="36"/>
        <v>0</v>
      </c>
      <c r="K601" s="1541">
        <f t="shared" si="37"/>
        <v>8000</v>
      </c>
      <c r="L601" s="1541">
        <f t="shared" si="38"/>
        <v>8000</v>
      </c>
      <c r="M601" s="1541">
        <f t="shared" si="39"/>
        <v>0</v>
      </c>
    </row>
    <row r="602" spans="1:13" x14ac:dyDescent="0.3">
      <c r="A602" s="1852" t="s">
        <v>3156</v>
      </c>
      <c r="B602" s="1462"/>
      <c r="C602" s="1456">
        <v>1660</v>
      </c>
      <c r="D602" s="1456">
        <v>1660</v>
      </c>
      <c r="E602" s="1462"/>
      <c r="J602" s="1541">
        <f t="shared" si="36"/>
        <v>0</v>
      </c>
      <c r="K602" s="1541">
        <f t="shared" si="37"/>
        <v>1660</v>
      </c>
      <c r="L602" s="1541">
        <f t="shared" si="38"/>
        <v>1660</v>
      </c>
      <c r="M602" s="1541">
        <f t="shared" si="39"/>
        <v>0</v>
      </c>
    </row>
    <row r="603" spans="1:13" x14ac:dyDescent="0.3">
      <c r="A603" s="1852" t="s">
        <v>3157</v>
      </c>
      <c r="B603" s="1462"/>
      <c r="C603" s="1456">
        <v>166</v>
      </c>
      <c r="D603" s="1456">
        <v>166</v>
      </c>
      <c r="E603" s="1462"/>
      <c r="J603" s="1541">
        <f t="shared" si="36"/>
        <v>0</v>
      </c>
      <c r="K603" s="1541">
        <f t="shared" si="37"/>
        <v>166</v>
      </c>
      <c r="L603" s="1541">
        <f t="shared" si="38"/>
        <v>166</v>
      </c>
      <c r="M603" s="1541">
        <f t="shared" si="39"/>
        <v>0</v>
      </c>
    </row>
    <row r="604" spans="1:13" x14ac:dyDescent="0.3">
      <c r="A604" s="1855" t="s">
        <v>3158</v>
      </c>
      <c r="B604" s="1462"/>
      <c r="C604" s="1456">
        <v>9350</v>
      </c>
      <c r="D604" s="1456">
        <v>9350</v>
      </c>
      <c r="E604" s="1462"/>
      <c r="J604" s="1541">
        <f t="shared" si="36"/>
        <v>0</v>
      </c>
      <c r="K604" s="1541">
        <f t="shared" si="37"/>
        <v>9350</v>
      </c>
      <c r="L604" s="1541">
        <f t="shared" si="38"/>
        <v>9350</v>
      </c>
      <c r="M604" s="1541">
        <f t="shared" si="39"/>
        <v>0</v>
      </c>
    </row>
    <row r="605" spans="1:13" x14ac:dyDescent="0.3">
      <c r="A605" s="1852" t="s">
        <v>3159</v>
      </c>
      <c r="B605" s="1462"/>
      <c r="C605" s="1456">
        <v>1200</v>
      </c>
      <c r="D605" s="1456">
        <v>1200</v>
      </c>
      <c r="E605" s="1462"/>
      <c r="J605" s="1541">
        <f t="shared" si="36"/>
        <v>0</v>
      </c>
      <c r="K605" s="1541">
        <f t="shared" si="37"/>
        <v>1200</v>
      </c>
      <c r="L605" s="1541">
        <f t="shared" si="38"/>
        <v>1200</v>
      </c>
      <c r="M605" s="1541">
        <f t="shared" si="39"/>
        <v>0</v>
      </c>
    </row>
    <row r="606" spans="1:13" x14ac:dyDescent="0.3">
      <c r="A606" s="1855" t="s">
        <v>3160</v>
      </c>
      <c r="B606" s="1462"/>
      <c r="C606" s="1456">
        <v>12100</v>
      </c>
      <c r="D606" s="1456">
        <v>12100</v>
      </c>
      <c r="E606" s="1462"/>
      <c r="J606" s="1541">
        <f t="shared" si="36"/>
        <v>0</v>
      </c>
      <c r="K606" s="1541">
        <f t="shared" si="37"/>
        <v>12100</v>
      </c>
      <c r="L606" s="1541">
        <f t="shared" si="38"/>
        <v>12100</v>
      </c>
      <c r="M606" s="1541">
        <f t="shared" si="39"/>
        <v>0</v>
      </c>
    </row>
    <row r="607" spans="1:13" x14ac:dyDescent="0.3">
      <c r="A607" s="1855" t="s">
        <v>3161</v>
      </c>
      <c r="B607" s="1462"/>
      <c r="C607" s="1456">
        <v>24200</v>
      </c>
      <c r="D607" s="1456">
        <v>24200</v>
      </c>
      <c r="E607" s="1462"/>
      <c r="J607" s="1541">
        <f t="shared" si="36"/>
        <v>0</v>
      </c>
      <c r="K607" s="1541">
        <f t="shared" si="37"/>
        <v>24200</v>
      </c>
      <c r="L607" s="1541">
        <f t="shared" si="38"/>
        <v>24200</v>
      </c>
      <c r="M607" s="1541">
        <f t="shared" si="39"/>
        <v>0</v>
      </c>
    </row>
    <row r="608" spans="1:13" x14ac:dyDescent="0.3">
      <c r="A608" s="1855" t="s">
        <v>3162</v>
      </c>
      <c r="B608" s="1462"/>
      <c r="C608" s="1456">
        <v>210</v>
      </c>
      <c r="D608" s="1456">
        <v>210</v>
      </c>
      <c r="E608" s="1462"/>
      <c r="J608" s="1541">
        <f t="shared" si="36"/>
        <v>0</v>
      </c>
      <c r="K608" s="1541">
        <f t="shared" si="37"/>
        <v>210</v>
      </c>
      <c r="L608" s="1541">
        <f t="shared" si="38"/>
        <v>210</v>
      </c>
      <c r="M608" s="1541">
        <f t="shared" si="39"/>
        <v>0</v>
      </c>
    </row>
    <row r="609" spans="1:13" x14ac:dyDescent="0.3">
      <c r="A609" s="1852" t="s">
        <v>3163</v>
      </c>
      <c r="B609" s="1462"/>
      <c r="C609" s="1456">
        <v>280</v>
      </c>
      <c r="D609" s="1456">
        <v>280</v>
      </c>
      <c r="E609" s="1462"/>
      <c r="J609" s="1541">
        <f t="shared" si="36"/>
        <v>0</v>
      </c>
      <c r="K609" s="1541">
        <f t="shared" si="37"/>
        <v>280</v>
      </c>
      <c r="L609" s="1541">
        <f t="shared" si="38"/>
        <v>280</v>
      </c>
      <c r="M609" s="1541">
        <f t="shared" si="39"/>
        <v>0</v>
      </c>
    </row>
    <row r="610" spans="1:13" x14ac:dyDescent="0.3">
      <c r="A610" s="1852" t="s">
        <v>3164</v>
      </c>
      <c r="B610" s="1462"/>
      <c r="C610" s="1456">
        <v>1250</v>
      </c>
      <c r="D610" s="1456">
        <v>1250</v>
      </c>
      <c r="E610" s="1462"/>
      <c r="J610" s="1541">
        <f t="shared" ref="J610:J673" si="40">B610+F610</f>
        <v>0</v>
      </c>
      <c r="K610" s="1541">
        <f t="shared" ref="K610:K673" si="41">C610+G610</f>
        <v>1250</v>
      </c>
      <c r="L610" s="1541">
        <f t="shared" ref="L610:L673" si="42">D610+H610</f>
        <v>1250</v>
      </c>
      <c r="M610" s="1541">
        <f t="shared" ref="M610:M673" si="43">E610+I610</f>
        <v>0</v>
      </c>
    </row>
    <row r="611" spans="1:13" x14ac:dyDescent="0.3">
      <c r="A611" s="1852" t="s">
        <v>3166</v>
      </c>
      <c r="B611" s="1462"/>
      <c r="C611" s="1456">
        <v>586</v>
      </c>
      <c r="D611" s="1456">
        <v>586</v>
      </c>
      <c r="E611" s="1462"/>
      <c r="J611" s="1541">
        <f t="shared" si="40"/>
        <v>0</v>
      </c>
      <c r="K611" s="1541">
        <f t="shared" si="41"/>
        <v>586</v>
      </c>
      <c r="L611" s="1541">
        <f t="shared" si="42"/>
        <v>586</v>
      </c>
      <c r="M611" s="1541">
        <f t="shared" si="43"/>
        <v>0</v>
      </c>
    </row>
    <row r="612" spans="1:13" x14ac:dyDescent="0.3">
      <c r="A612" s="1852" t="s">
        <v>3167</v>
      </c>
      <c r="B612" s="1462"/>
      <c r="C612" s="1456">
        <v>1660</v>
      </c>
      <c r="D612" s="1456">
        <v>1660</v>
      </c>
      <c r="E612" s="1462"/>
      <c r="J612" s="1541">
        <f t="shared" si="40"/>
        <v>0</v>
      </c>
      <c r="K612" s="1541">
        <f t="shared" si="41"/>
        <v>1660</v>
      </c>
      <c r="L612" s="1541">
        <f t="shared" si="42"/>
        <v>1660</v>
      </c>
      <c r="M612" s="1541">
        <f t="shared" si="43"/>
        <v>0</v>
      </c>
    </row>
    <row r="613" spans="1:13" x14ac:dyDescent="0.3">
      <c r="A613" s="1855" t="s">
        <v>3169</v>
      </c>
      <c r="B613" s="1462"/>
      <c r="C613" s="1456">
        <v>280</v>
      </c>
      <c r="D613" s="1456">
        <v>280</v>
      </c>
      <c r="E613" s="1462"/>
      <c r="J613" s="1541">
        <f t="shared" si="40"/>
        <v>0</v>
      </c>
      <c r="K613" s="1541">
        <f t="shared" si="41"/>
        <v>280</v>
      </c>
      <c r="L613" s="1541">
        <f t="shared" si="42"/>
        <v>280</v>
      </c>
      <c r="M613" s="1541">
        <f t="shared" si="43"/>
        <v>0</v>
      </c>
    </row>
    <row r="614" spans="1:13" x14ac:dyDescent="0.3">
      <c r="A614" s="1852" t="s">
        <v>3171</v>
      </c>
      <c r="B614" s="1462"/>
      <c r="C614" s="1456">
        <v>16068</v>
      </c>
      <c r="D614" s="1456">
        <v>16068</v>
      </c>
      <c r="E614" s="1462"/>
      <c r="J614" s="1541">
        <f t="shared" si="40"/>
        <v>0</v>
      </c>
      <c r="K614" s="1541">
        <f t="shared" si="41"/>
        <v>16068</v>
      </c>
      <c r="L614" s="1541">
        <f t="shared" si="42"/>
        <v>16068</v>
      </c>
      <c r="M614" s="1541">
        <f t="shared" si="43"/>
        <v>0</v>
      </c>
    </row>
    <row r="615" spans="1:13" x14ac:dyDescent="0.3">
      <c r="A615" s="1852" t="s">
        <v>3172</v>
      </c>
      <c r="B615" s="1462"/>
      <c r="C615" s="1456">
        <v>3556</v>
      </c>
      <c r="D615" s="1456">
        <v>3556</v>
      </c>
      <c r="E615" s="1462"/>
      <c r="J615" s="1541">
        <f t="shared" si="40"/>
        <v>0</v>
      </c>
      <c r="K615" s="1541">
        <f t="shared" si="41"/>
        <v>3556</v>
      </c>
      <c r="L615" s="1541">
        <f t="shared" si="42"/>
        <v>3556</v>
      </c>
      <c r="M615" s="1541">
        <f t="shared" si="43"/>
        <v>0</v>
      </c>
    </row>
    <row r="616" spans="1:13" x14ac:dyDescent="0.3">
      <c r="A616" s="1852" t="s">
        <v>3174</v>
      </c>
      <c r="B616" s="1462"/>
      <c r="C616" s="1456">
        <v>1050</v>
      </c>
      <c r="D616" s="1456">
        <v>1050</v>
      </c>
      <c r="E616" s="1462"/>
      <c r="J616" s="1541">
        <f t="shared" si="40"/>
        <v>0</v>
      </c>
      <c r="K616" s="1541">
        <f t="shared" si="41"/>
        <v>1050</v>
      </c>
      <c r="L616" s="1541">
        <f t="shared" si="42"/>
        <v>1050</v>
      </c>
      <c r="M616" s="1541">
        <f t="shared" si="43"/>
        <v>0</v>
      </c>
    </row>
    <row r="617" spans="1:13" x14ac:dyDescent="0.3">
      <c r="A617" s="1855" t="s">
        <v>3175</v>
      </c>
      <c r="B617" s="1462"/>
      <c r="C617" s="1456">
        <v>2320</v>
      </c>
      <c r="D617" s="1456">
        <v>2320</v>
      </c>
      <c r="E617" s="1462"/>
      <c r="J617" s="1541">
        <f t="shared" si="40"/>
        <v>0</v>
      </c>
      <c r="K617" s="1541">
        <f t="shared" si="41"/>
        <v>2320</v>
      </c>
      <c r="L617" s="1541">
        <f t="shared" si="42"/>
        <v>2320</v>
      </c>
      <c r="M617" s="1541">
        <f t="shared" si="43"/>
        <v>0</v>
      </c>
    </row>
    <row r="618" spans="1:13" x14ac:dyDescent="0.3">
      <c r="A618" s="1852" t="s">
        <v>3176</v>
      </c>
      <c r="B618" s="1462"/>
      <c r="C618" s="1456">
        <v>3504</v>
      </c>
      <c r="D618" s="1456">
        <v>3504</v>
      </c>
      <c r="E618" s="1462"/>
      <c r="J618" s="1541">
        <f t="shared" si="40"/>
        <v>0</v>
      </c>
      <c r="K618" s="1541">
        <f t="shared" si="41"/>
        <v>3504</v>
      </c>
      <c r="L618" s="1541">
        <f t="shared" si="42"/>
        <v>3504</v>
      </c>
      <c r="M618" s="1541">
        <f t="shared" si="43"/>
        <v>0</v>
      </c>
    </row>
    <row r="619" spans="1:13" x14ac:dyDescent="0.3">
      <c r="A619" s="1852" t="s">
        <v>3177</v>
      </c>
      <c r="B619" s="1462"/>
      <c r="C619" s="1456">
        <v>3410</v>
      </c>
      <c r="D619" s="1456">
        <v>3410</v>
      </c>
      <c r="E619" s="1462"/>
      <c r="J619" s="1541">
        <f t="shared" si="40"/>
        <v>0</v>
      </c>
      <c r="K619" s="1541">
        <f t="shared" si="41"/>
        <v>3410</v>
      </c>
      <c r="L619" s="1541">
        <f t="shared" si="42"/>
        <v>3410</v>
      </c>
      <c r="M619" s="1541">
        <f t="shared" si="43"/>
        <v>0</v>
      </c>
    </row>
    <row r="620" spans="1:13" x14ac:dyDescent="0.3">
      <c r="A620" s="1852" t="s">
        <v>3178</v>
      </c>
      <c r="B620" s="1462"/>
      <c r="C620" s="1456">
        <v>30020</v>
      </c>
      <c r="D620" s="1456">
        <v>30020</v>
      </c>
      <c r="E620" s="1462"/>
      <c r="J620" s="1541">
        <f t="shared" si="40"/>
        <v>0</v>
      </c>
      <c r="K620" s="1541">
        <f t="shared" si="41"/>
        <v>30020</v>
      </c>
      <c r="L620" s="1541">
        <f t="shared" si="42"/>
        <v>30020</v>
      </c>
      <c r="M620" s="1541">
        <f t="shared" si="43"/>
        <v>0</v>
      </c>
    </row>
    <row r="621" spans="1:13" x14ac:dyDescent="0.3">
      <c r="A621" s="1855" t="s">
        <v>3179</v>
      </c>
      <c r="B621" s="1462"/>
      <c r="C621" s="1456">
        <v>3466</v>
      </c>
      <c r="D621" s="1456">
        <v>3466</v>
      </c>
      <c r="E621" s="1462"/>
      <c r="J621" s="1541">
        <f t="shared" si="40"/>
        <v>0</v>
      </c>
      <c r="K621" s="1541">
        <f t="shared" si="41"/>
        <v>3466</v>
      </c>
      <c r="L621" s="1541">
        <f t="shared" si="42"/>
        <v>3466</v>
      </c>
      <c r="M621" s="1541">
        <f t="shared" si="43"/>
        <v>0</v>
      </c>
    </row>
    <row r="622" spans="1:13" x14ac:dyDescent="0.3">
      <c r="A622" s="1852" t="s">
        <v>3180</v>
      </c>
      <c r="B622" s="1462"/>
      <c r="C622" s="1456">
        <v>680</v>
      </c>
      <c r="D622" s="1456">
        <v>680</v>
      </c>
      <c r="E622" s="1462"/>
      <c r="J622" s="1541">
        <f t="shared" si="40"/>
        <v>0</v>
      </c>
      <c r="K622" s="1541">
        <f t="shared" si="41"/>
        <v>680</v>
      </c>
      <c r="L622" s="1541">
        <f t="shared" si="42"/>
        <v>680</v>
      </c>
      <c r="M622" s="1541">
        <f t="shared" si="43"/>
        <v>0</v>
      </c>
    </row>
    <row r="623" spans="1:13" x14ac:dyDescent="0.3">
      <c r="A623" s="1852" t="s">
        <v>3181</v>
      </c>
      <c r="B623" s="1462"/>
      <c r="C623" s="1456">
        <v>200</v>
      </c>
      <c r="D623" s="1456">
        <v>200</v>
      </c>
      <c r="E623" s="1462"/>
      <c r="J623" s="1541">
        <f t="shared" si="40"/>
        <v>0</v>
      </c>
      <c r="K623" s="1541">
        <f t="shared" si="41"/>
        <v>200</v>
      </c>
      <c r="L623" s="1541">
        <f t="shared" si="42"/>
        <v>200</v>
      </c>
      <c r="M623" s="1541">
        <f t="shared" si="43"/>
        <v>0</v>
      </c>
    </row>
    <row r="624" spans="1:13" x14ac:dyDescent="0.3">
      <c r="A624" s="1852" t="s">
        <v>3182</v>
      </c>
      <c r="B624" s="1462"/>
      <c r="C624" s="1456">
        <v>200</v>
      </c>
      <c r="D624" s="1456">
        <v>200</v>
      </c>
      <c r="E624" s="1462"/>
      <c r="J624" s="1541">
        <f t="shared" si="40"/>
        <v>0</v>
      </c>
      <c r="K624" s="1541">
        <f t="shared" si="41"/>
        <v>200</v>
      </c>
      <c r="L624" s="1541">
        <f t="shared" si="42"/>
        <v>200</v>
      </c>
      <c r="M624" s="1541">
        <f t="shared" si="43"/>
        <v>0</v>
      </c>
    </row>
    <row r="625" spans="1:13" x14ac:dyDescent="0.3">
      <c r="A625" s="1461" t="s">
        <v>3183</v>
      </c>
      <c r="B625" s="1462"/>
      <c r="C625" s="1456">
        <v>7334</v>
      </c>
      <c r="D625" s="1456">
        <v>7334</v>
      </c>
      <c r="E625" s="1462"/>
      <c r="J625" s="1541">
        <f t="shared" si="40"/>
        <v>0</v>
      </c>
      <c r="K625" s="1541">
        <f t="shared" si="41"/>
        <v>7334</v>
      </c>
      <c r="L625" s="1541">
        <f t="shared" si="42"/>
        <v>7334</v>
      </c>
      <c r="M625" s="1541">
        <f t="shared" si="43"/>
        <v>0</v>
      </c>
    </row>
    <row r="626" spans="1:13" x14ac:dyDescent="0.3">
      <c r="A626" s="1852" t="s">
        <v>3184</v>
      </c>
      <c r="B626" s="1462"/>
      <c r="C626" s="1456">
        <v>4122</v>
      </c>
      <c r="D626" s="1456">
        <v>4122</v>
      </c>
      <c r="E626" s="1462"/>
      <c r="J626" s="1541">
        <f t="shared" si="40"/>
        <v>0</v>
      </c>
      <c r="K626" s="1541">
        <f t="shared" si="41"/>
        <v>4122</v>
      </c>
      <c r="L626" s="1541">
        <f t="shared" si="42"/>
        <v>4122</v>
      </c>
      <c r="M626" s="1541">
        <f t="shared" si="43"/>
        <v>0</v>
      </c>
    </row>
    <row r="627" spans="1:13" x14ac:dyDescent="0.3">
      <c r="A627" s="1852" t="s">
        <v>3185</v>
      </c>
      <c r="B627" s="1462"/>
      <c r="C627" s="1456">
        <v>360</v>
      </c>
      <c r="D627" s="1456">
        <v>360</v>
      </c>
      <c r="E627" s="1462"/>
      <c r="J627" s="1541">
        <f t="shared" si="40"/>
        <v>0</v>
      </c>
      <c r="K627" s="1541">
        <f t="shared" si="41"/>
        <v>360</v>
      </c>
      <c r="L627" s="1541">
        <f t="shared" si="42"/>
        <v>360</v>
      </c>
      <c r="M627" s="1541">
        <f t="shared" si="43"/>
        <v>0</v>
      </c>
    </row>
    <row r="628" spans="1:13" x14ac:dyDescent="0.3">
      <c r="A628" s="1852" t="s">
        <v>3186</v>
      </c>
      <c r="B628" s="1462"/>
      <c r="C628" s="1456">
        <v>660</v>
      </c>
      <c r="D628" s="1456">
        <v>660</v>
      </c>
      <c r="E628" s="1462"/>
      <c r="J628" s="1541">
        <f t="shared" si="40"/>
        <v>0</v>
      </c>
      <c r="K628" s="1541">
        <f t="shared" si="41"/>
        <v>660</v>
      </c>
      <c r="L628" s="1541">
        <f t="shared" si="42"/>
        <v>660</v>
      </c>
      <c r="M628" s="1541">
        <f t="shared" si="43"/>
        <v>0</v>
      </c>
    </row>
    <row r="629" spans="1:13" x14ac:dyDescent="0.3">
      <c r="A629" s="1852" t="s">
        <v>3187</v>
      </c>
      <c r="B629" s="1462"/>
      <c r="C629" s="1456">
        <v>380</v>
      </c>
      <c r="D629" s="1456">
        <v>380</v>
      </c>
      <c r="E629" s="1462"/>
      <c r="J629" s="1541">
        <f t="shared" si="40"/>
        <v>0</v>
      </c>
      <c r="K629" s="1541">
        <f t="shared" si="41"/>
        <v>380</v>
      </c>
      <c r="L629" s="1541">
        <f t="shared" si="42"/>
        <v>380</v>
      </c>
      <c r="M629" s="1541">
        <f t="shared" si="43"/>
        <v>0</v>
      </c>
    </row>
    <row r="630" spans="1:13" x14ac:dyDescent="0.3">
      <c r="A630" s="1852" t="s">
        <v>3188</v>
      </c>
      <c r="B630" s="1462"/>
      <c r="C630" s="1456">
        <v>732</v>
      </c>
      <c r="D630" s="1456">
        <v>732</v>
      </c>
      <c r="E630" s="1462"/>
      <c r="J630" s="1541">
        <f t="shared" si="40"/>
        <v>0</v>
      </c>
      <c r="K630" s="1541">
        <f t="shared" si="41"/>
        <v>732</v>
      </c>
      <c r="L630" s="1541">
        <f t="shared" si="42"/>
        <v>732</v>
      </c>
      <c r="M630" s="1541">
        <f t="shared" si="43"/>
        <v>0</v>
      </c>
    </row>
    <row r="631" spans="1:13" x14ac:dyDescent="0.3">
      <c r="A631" s="1852" t="s">
        <v>3189</v>
      </c>
      <c r="B631" s="1462"/>
      <c r="C631" s="1456">
        <v>840</v>
      </c>
      <c r="D631" s="1456">
        <v>840</v>
      </c>
      <c r="E631" s="1462"/>
      <c r="J631" s="1541">
        <f t="shared" si="40"/>
        <v>0</v>
      </c>
      <c r="K631" s="1541">
        <f t="shared" si="41"/>
        <v>840</v>
      </c>
      <c r="L631" s="1541">
        <f t="shared" si="42"/>
        <v>840</v>
      </c>
      <c r="M631" s="1541">
        <f t="shared" si="43"/>
        <v>0</v>
      </c>
    </row>
    <row r="632" spans="1:13" x14ac:dyDescent="0.3">
      <c r="A632" s="1852" t="s">
        <v>3190</v>
      </c>
      <c r="B632" s="1462"/>
      <c r="C632" s="1456">
        <v>612</v>
      </c>
      <c r="D632" s="1456">
        <v>612</v>
      </c>
      <c r="E632" s="1462"/>
      <c r="J632" s="1541">
        <f t="shared" si="40"/>
        <v>0</v>
      </c>
      <c r="K632" s="1541">
        <f t="shared" si="41"/>
        <v>612</v>
      </c>
      <c r="L632" s="1541">
        <f t="shared" si="42"/>
        <v>612</v>
      </c>
      <c r="M632" s="1541">
        <f t="shared" si="43"/>
        <v>0</v>
      </c>
    </row>
    <row r="633" spans="1:13" x14ac:dyDescent="0.3">
      <c r="A633" s="1852" t="s">
        <v>3191</v>
      </c>
      <c r="B633" s="1462"/>
      <c r="C633" s="1456">
        <v>140</v>
      </c>
      <c r="D633" s="1456">
        <v>140</v>
      </c>
      <c r="E633" s="1462"/>
      <c r="J633" s="1541">
        <f t="shared" si="40"/>
        <v>0</v>
      </c>
      <c r="K633" s="1541">
        <f t="shared" si="41"/>
        <v>140</v>
      </c>
      <c r="L633" s="1541">
        <f t="shared" si="42"/>
        <v>140</v>
      </c>
      <c r="M633" s="1541">
        <f t="shared" si="43"/>
        <v>0</v>
      </c>
    </row>
    <row r="634" spans="1:13" x14ac:dyDescent="0.3">
      <c r="A634" s="1855" t="s">
        <v>3193</v>
      </c>
      <c r="B634" s="1462"/>
      <c r="C634" s="1456">
        <v>26418</v>
      </c>
      <c r="D634" s="1456">
        <v>26418</v>
      </c>
      <c r="E634" s="1462"/>
      <c r="J634" s="1541">
        <f t="shared" si="40"/>
        <v>0</v>
      </c>
      <c r="K634" s="1541">
        <f t="shared" si="41"/>
        <v>26418</v>
      </c>
      <c r="L634" s="1541">
        <f t="shared" si="42"/>
        <v>26418</v>
      </c>
      <c r="M634" s="1541">
        <f t="shared" si="43"/>
        <v>0</v>
      </c>
    </row>
    <row r="635" spans="1:13" x14ac:dyDescent="0.3">
      <c r="A635" s="1852" t="s">
        <v>3194</v>
      </c>
      <c r="B635" s="1462"/>
      <c r="C635" s="1456">
        <v>1730</v>
      </c>
      <c r="D635" s="1456">
        <v>1730</v>
      </c>
      <c r="E635" s="1462"/>
      <c r="J635" s="1541">
        <f t="shared" si="40"/>
        <v>0</v>
      </c>
      <c r="K635" s="1541">
        <f t="shared" si="41"/>
        <v>1730</v>
      </c>
      <c r="L635" s="1541">
        <f t="shared" si="42"/>
        <v>1730</v>
      </c>
      <c r="M635" s="1541">
        <f t="shared" si="43"/>
        <v>0</v>
      </c>
    </row>
    <row r="636" spans="1:13" x14ac:dyDescent="0.3">
      <c r="A636" s="1852" t="s">
        <v>3195</v>
      </c>
      <c r="B636" s="1462"/>
      <c r="C636" s="1456">
        <v>320</v>
      </c>
      <c r="D636" s="1456">
        <v>320</v>
      </c>
      <c r="E636" s="1462"/>
      <c r="J636" s="1541">
        <f t="shared" si="40"/>
        <v>0</v>
      </c>
      <c r="K636" s="1541">
        <f t="shared" si="41"/>
        <v>320</v>
      </c>
      <c r="L636" s="1541">
        <f t="shared" si="42"/>
        <v>320</v>
      </c>
      <c r="M636" s="1541">
        <f t="shared" si="43"/>
        <v>0</v>
      </c>
    </row>
    <row r="637" spans="1:13" x14ac:dyDescent="0.3">
      <c r="A637" s="1852" t="s">
        <v>3196</v>
      </c>
      <c r="B637" s="1462"/>
      <c r="C637" s="1456">
        <v>1642</v>
      </c>
      <c r="D637" s="1456">
        <v>1642</v>
      </c>
      <c r="E637" s="1462"/>
      <c r="J637" s="1541">
        <f t="shared" si="40"/>
        <v>0</v>
      </c>
      <c r="K637" s="1541">
        <f t="shared" si="41"/>
        <v>1642</v>
      </c>
      <c r="L637" s="1541">
        <f t="shared" si="42"/>
        <v>1642</v>
      </c>
      <c r="M637" s="1541">
        <f t="shared" si="43"/>
        <v>0</v>
      </c>
    </row>
    <row r="638" spans="1:13" x14ac:dyDescent="0.3">
      <c r="A638" s="1852" t="s">
        <v>3197</v>
      </c>
      <c r="B638" s="1462"/>
      <c r="C638" s="1456">
        <v>306</v>
      </c>
      <c r="D638" s="1456">
        <v>306</v>
      </c>
      <c r="E638" s="1462"/>
      <c r="J638" s="1541">
        <f t="shared" si="40"/>
        <v>0</v>
      </c>
      <c r="K638" s="1541">
        <f t="shared" si="41"/>
        <v>306</v>
      </c>
      <c r="L638" s="1541">
        <f t="shared" si="42"/>
        <v>306</v>
      </c>
      <c r="M638" s="1541">
        <f t="shared" si="43"/>
        <v>0</v>
      </c>
    </row>
    <row r="639" spans="1:13" x14ac:dyDescent="0.3">
      <c r="A639" s="1852" t="s">
        <v>3198</v>
      </c>
      <c r="B639" s="1462"/>
      <c r="C639" s="1456">
        <v>1132</v>
      </c>
      <c r="D639" s="1456">
        <v>1132</v>
      </c>
      <c r="E639" s="1462"/>
      <c r="J639" s="1541">
        <f t="shared" si="40"/>
        <v>0</v>
      </c>
      <c r="K639" s="1541">
        <f t="shared" si="41"/>
        <v>1132</v>
      </c>
      <c r="L639" s="1541">
        <f t="shared" si="42"/>
        <v>1132</v>
      </c>
      <c r="M639" s="1541">
        <f t="shared" si="43"/>
        <v>0</v>
      </c>
    </row>
    <row r="640" spans="1:13" x14ac:dyDescent="0.3">
      <c r="A640" s="1852" t="s">
        <v>3199</v>
      </c>
      <c r="B640" s="1462"/>
      <c r="C640" s="1456">
        <v>610</v>
      </c>
      <c r="D640" s="1456">
        <v>610</v>
      </c>
      <c r="E640" s="1462"/>
      <c r="J640" s="1541">
        <f t="shared" si="40"/>
        <v>0</v>
      </c>
      <c r="K640" s="1541">
        <f t="shared" si="41"/>
        <v>610</v>
      </c>
      <c r="L640" s="1541">
        <f t="shared" si="42"/>
        <v>610</v>
      </c>
      <c r="M640" s="1541">
        <f t="shared" si="43"/>
        <v>0</v>
      </c>
    </row>
    <row r="641" spans="1:13" x14ac:dyDescent="0.3">
      <c r="A641" s="1852" t="s">
        <v>3200</v>
      </c>
      <c r="B641" s="1462"/>
      <c r="C641" s="1456">
        <v>1348</v>
      </c>
      <c r="D641" s="1456">
        <v>1348</v>
      </c>
      <c r="E641" s="1462"/>
      <c r="J641" s="1541">
        <f t="shared" si="40"/>
        <v>0</v>
      </c>
      <c r="K641" s="1541">
        <f t="shared" si="41"/>
        <v>1348</v>
      </c>
      <c r="L641" s="1541">
        <f t="shared" si="42"/>
        <v>1348</v>
      </c>
      <c r="M641" s="1541">
        <f t="shared" si="43"/>
        <v>0</v>
      </c>
    </row>
    <row r="642" spans="1:13" x14ac:dyDescent="0.3">
      <c r="A642" s="1855" t="s">
        <v>3201</v>
      </c>
      <c r="B642" s="1462"/>
      <c r="C642" s="1456">
        <v>656</v>
      </c>
      <c r="D642" s="1456">
        <v>656</v>
      </c>
      <c r="E642" s="1462"/>
      <c r="J642" s="1541">
        <f t="shared" si="40"/>
        <v>0</v>
      </c>
      <c r="K642" s="1541">
        <f t="shared" si="41"/>
        <v>656</v>
      </c>
      <c r="L642" s="1541">
        <f t="shared" si="42"/>
        <v>656</v>
      </c>
      <c r="M642" s="1541">
        <f t="shared" si="43"/>
        <v>0</v>
      </c>
    </row>
    <row r="643" spans="1:13" x14ac:dyDescent="0.3">
      <c r="A643" s="1852" t="s">
        <v>3203</v>
      </c>
      <c r="B643" s="1462"/>
      <c r="C643" s="1456">
        <v>14127</v>
      </c>
      <c r="D643" s="1456">
        <v>14127</v>
      </c>
      <c r="E643" s="1462"/>
      <c r="J643" s="1541">
        <f t="shared" si="40"/>
        <v>0</v>
      </c>
      <c r="K643" s="1541">
        <f t="shared" si="41"/>
        <v>14127</v>
      </c>
      <c r="L643" s="1541">
        <f t="shared" si="42"/>
        <v>14127</v>
      </c>
      <c r="M643" s="1541">
        <f t="shared" si="43"/>
        <v>0</v>
      </c>
    </row>
    <row r="644" spans="1:13" x14ac:dyDescent="0.3">
      <c r="A644" s="1852" t="s">
        <v>3204</v>
      </c>
      <c r="B644" s="1462"/>
      <c r="C644" s="1456">
        <v>2112</v>
      </c>
      <c r="D644" s="1456">
        <v>2112</v>
      </c>
      <c r="E644" s="1462"/>
      <c r="J644" s="1541">
        <f t="shared" si="40"/>
        <v>0</v>
      </c>
      <c r="K644" s="1541">
        <f t="shared" si="41"/>
        <v>2112</v>
      </c>
      <c r="L644" s="1541">
        <f t="shared" si="42"/>
        <v>2112</v>
      </c>
      <c r="M644" s="1541">
        <f t="shared" si="43"/>
        <v>0</v>
      </c>
    </row>
    <row r="645" spans="1:13" x14ac:dyDescent="0.3">
      <c r="A645" s="1852" t="s">
        <v>3205</v>
      </c>
      <c r="B645" s="1462"/>
      <c r="C645" s="1456">
        <v>1520</v>
      </c>
      <c r="D645" s="1456">
        <v>1520</v>
      </c>
      <c r="E645" s="1462"/>
      <c r="J645" s="1541">
        <f t="shared" si="40"/>
        <v>0</v>
      </c>
      <c r="K645" s="1541">
        <f t="shared" si="41"/>
        <v>1520</v>
      </c>
      <c r="L645" s="1541">
        <f t="shared" si="42"/>
        <v>1520</v>
      </c>
      <c r="M645" s="1541">
        <f t="shared" si="43"/>
        <v>0</v>
      </c>
    </row>
    <row r="646" spans="1:13" x14ac:dyDescent="0.3">
      <c r="A646" s="1852" t="s">
        <v>3206</v>
      </c>
      <c r="B646" s="1462"/>
      <c r="C646" s="1456">
        <v>166</v>
      </c>
      <c r="D646" s="1456">
        <v>166</v>
      </c>
      <c r="E646" s="1462"/>
      <c r="J646" s="1541">
        <f t="shared" si="40"/>
        <v>0</v>
      </c>
      <c r="K646" s="1541">
        <f t="shared" si="41"/>
        <v>166</v>
      </c>
      <c r="L646" s="1541">
        <f t="shared" si="42"/>
        <v>166</v>
      </c>
      <c r="M646" s="1541">
        <f t="shared" si="43"/>
        <v>0</v>
      </c>
    </row>
    <row r="647" spans="1:13" x14ac:dyDescent="0.3">
      <c r="A647" s="1855" t="s">
        <v>3207</v>
      </c>
      <c r="B647" s="1462"/>
      <c r="C647" s="1456">
        <v>10256</v>
      </c>
      <c r="D647" s="1456">
        <v>10256</v>
      </c>
      <c r="E647" s="1462"/>
      <c r="J647" s="1541">
        <f t="shared" si="40"/>
        <v>0</v>
      </c>
      <c r="K647" s="1541">
        <f t="shared" si="41"/>
        <v>10256</v>
      </c>
      <c r="L647" s="1541">
        <f t="shared" si="42"/>
        <v>10256</v>
      </c>
      <c r="M647" s="1541">
        <f t="shared" si="43"/>
        <v>0</v>
      </c>
    </row>
    <row r="648" spans="1:13" x14ac:dyDescent="0.3">
      <c r="A648" s="1852" t="s">
        <v>3208</v>
      </c>
      <c r="B648" s="1462"/>
      <c r="C648" s="1456">
        <v>22250</v>
      </c>
      <c r="D648" s="1456">
        <v>22250</v>
      </c>
      <c r="E648" s="1462"/>
      <c r="J648" s="1541">
        <f t="shared" si="40"/>
        <v>0</v>
      </c>
      <c r="K648" s="1541">
        <f t="shared" si="41"/>
        <v>22250</v>
      </c>
      <c r="L648" s="1541">
        <f t="shared" si="42"/>
        <v>22250</v>
      </c>
      <c r="M648" s="1541">
        <f t="shared" si="43"/>
        <v>0</v>
      </c>
    </row>
    <row r="649" spans="1:13" x14ac:dyDescent="0.3">
      <c r="A649" s="1852" t="s">
        <v>3209</v>
      </c>
      <c r="B649" s="1462"/>
      <c r="C649" s="1456">
        <v>390</v>
      </c>
      <c r="D649" s="1456">
        <v>390</v>
      </c>
      <c r="E649" s="1462"/>
      <c r="J649" s="1541">
        <f t="shared" si="40"/>
        <v>0</v>
      </c>
      <c r="K649" s="1541">
        <f t="shared" si="41"/>
        <v>390</v>
      </c>
      <c r="L649" s="1541">
        <f t="shared" si="42"/>
        <v>390</v>
      </c>
      <c r="M649" s="1541">
        <f t="shared" si="43"/>
        <v>0</v>
      </c>
    </row>
    <row r="650" spans="1:13" x14ac:dyDescent="0.3">
      <c r="A650" s="1855" t="s">
        <v>3210</v>
      </c>
      <c r="B650" s="1462"/>
      <c r="C650" s="1456">
        <v>280</v>
      </c>
      <c r="D650" s="1456">
        <v>280</v>
      </c>
      <c r="E650" s="1462"/>
      <c r="J650" s="1541">
        <f t="shared" si="40"/>
        <v>0</v>
      </c>
      <c r="K650" s="1541">
        <f t="shared" si="41"/>
        <v>280</v>
      </c>
      <c r="L650" s="1541">
        <f t="shared" si="42"/>
        <v>280</v>
      </c>
      <c r="M650" s="1541">
        <f t="shared" si="43"/>
        <v>0</v>
      </c>
    </row>
    <row r="651" spans="1:13" x14ac:dyDescent="0.3">
      <c r="A651" s="1855" t="s">
        <v>3211</v>
      </c>
      <c r="B651" s="1462"/>
      <c r="C651" s="1456">
        <v>8625</v>
      </c>
      <c r="D651" s="1456">
        <v>8625</v>
      </c>
      <c r="E651" s="1462"/>
      <c r="J651" s="1541">
        <f t="shared" si="40"/>
        <v>0</v>
      </c>
      <c r="K651" s="1541">
        <f t="shared" si="41"/>
        <v>8625</v>
      </c>
      <c r="L651" s="1541">
        <f t="shared" si="42"/>
        <v>8625</v>
      </c>
      <c r="M651" s="1541">
        <f t="shared" si="43"/>
        <v>0</v>
      </c>
    </row>
    <row r="652" spans="1:13" x14ac:dyDescent="0.3">
      <c r="A652" s="1852" t="s">
        <v>3213</v>
      </c>
      <c r="B652" s="1462"/>
      <c r="C652" s="1456">
        <v>340</v>
      </c>
      <c r="D652" s="1456">
        <v>340</v>
      </c>
      <c r="E652" s="1462"/>
      <c r="J652" s="1541">
        <f t="shared" si="40"/>
        <v>0</v>
      </c>
      <c r="K652" s="1541">
        <f t="shared" si="41"/>
        <v>340</v>
      </c>
      <c r="L652" s="1541">
        <f t="shared" si="42"/>
        <v>340</v>
      </c>
      <c r="M652" s="1541">
        <f t="shared" si="43"/>
        <v>0</v>
      </c>
    </row>
    <row r="653" spans="1:13" x14ac:dyDescent="0.3">
      <c r="A653" s="1852" t="s">
        <v>3214</v>
      </c>
      <c r="B653" s="1462"/>
      <c r="C653" s="1456">
        <v>660</v>
      </c>
      <c r="D653" s="1456">
        <v>660</v>
      </c>
      <c r="E653" s="1462"/>
      <c r="J653" s="1541">
        <f t="shared" si="40"/>
        <v>0</v>
      </c>
      <c r="K653" s="1541">
        <f t="shared" si="41"/>
        <v>660</v>
      </c>
      <c r="L653" s="1541">
        <f t="shared" si="42"/>
        <v>660</v>
      </c>
      <c r="M653" s="1541">
        <f t="shared" si="43"/>
        <v>0</v>
      </c>
    </row>
    <row r="654" spans="1:13" x14ac:dyDescent="0.3">
      <c r="A654" s="1855" t="s">
        <v>3215</v>
      </c>
      <c r="B654" s="1462"/>
      <c r="C654" s="1456">
        <v>4360</v>
      </c>
      <c r="D654" s="1456">
        <v>4360</v>
      </c>
      <c r="E654" s="1462"/>
      <c r="J654" s="1541">
        <f t="shared" si="40"/>
        <v>0</v>
      </c>
      <c r="K654" s="1541">
        <f t="shared" si="41"/>
        <v>4360</v>
      </c>
      <c r="L654" s="1541">
        <f t="shared" si="42"/>
        <v>4360</v>
      </c>
      <c r="M654" s="1541">
        <f t="shared" si="43"/>
        <v>0</v>
      </c>
    </row>
    <row r="655" spans="1:13" x14ac:dyDescent="0.3">
      <c r="A655" s="1852" t="s">
        <v>3217</v>
      </c>
      <c r="B655" s="1462"/>
      <c r="C655" s="1456">
        <v>240</v>
      </c>
      <c r="D655" s="1456">
        <v>240</v>
      </c>
      <c r="E655" s="1462"/>
      <c r="J655" s="1541">
        <f t="shared" si="40"/>
        <v>0</v>
      </c>
      <c r="K655" s="1541">
        <f t="shared" si="41"/>
        <v>240</v>
      </c>
      <c r="L655" s="1541">
        <f t="shared" si="42"/>
        <v>240</v>
      </c>
      <c r="M655" s="1541">
        <f t="shared" si="43"/>
        <v>0</v>
      </c>
    </row>
    <row r="656" spans="1:13" x14ac:dyDescent="0.3">
      <c r="A656" s="1852" t="s">
        <v>3218</v>
      </c>
      <c r="B656" s="1462"/>
      <c r="C656" s="1456">
        <v>830</v>
      </c>
      <c r="D656" s="1456">
        <v>830</v>
      </c>
      <c r="E656" s="1462"/>
      <c r="J656" s="1541">
        <f t="shared" si="40"/>
        <v>0</v>
      </c>
      <c r="K656" s="1541">
        <f t="shared" si="41"/>
        <v>830</v>
      </c>
      <c r="L656" s="1541">
        <f t="shared" si="42"/>
        <v>830</v>
      </c>
      <c r="M656" s="1541">
        <f t="shared" si="43"/>
        <v>0</v>
      </c>
    </row>
    <row r="657" spans="1:13" x14ac:dyDescent="0.3">
      <c r="A657" s="1852" t="s">
        <v>3219</v>
      </c>
      <c r="B657" s="1462"/>
      <c r="C657" s="1456">
        <v>1200</v>
      </c>
      <c r="D657" s="1456">
        <v>1200</v>
      </c>
      <c r="E657" s="1462"/>
      <c r="J657" s="1541">
        <f t="shared" si="40"/>
        <v>0</v>
      </c>
      <c r="K657" s="1541">
        <f t="shared" si="41"/>
        <v>1200</v>
      </c>
      <c r="L657" s="1541">
        <f t="shared" si="42"/>
        <v>1200</v>
      </c>
      <c r="M657" s="1541">
        <f t="shared" si="43"/>
        <v>0</v>
      </c>
    </row>
    <row r="658" spans="1:13" x14ac:dyDescent="0.3">
      <c r="A658" s="1852" t="s">
        <v>3220</v>
      </c>
      <c r="B658" s="1462"/>
      <c r="C658" s="1456">
        <v>200</v>
      </c>
      <c r="D658" s="1456">
        <v>200</v>
      </c>
      <c r="E658" s="1462"/>
      <c r="J658" s="1541">
        <f t="shared" si="40"/>
        <v>0</v>
      </c>
      <c r="K658" s="1541">
        <f t="shared" si="41"/>
        <v>200</v>
      </c>
      <c r="L658" s="1541">
        <f t="shared" si="42"/>
        <v>200</v>
      </c>
      <c r="M658" s="1541">
        <f t="shared" si="43"/>
        <v>0</v>
      </c>
    </row>
    <row r="659" spans="1:13" x14ac:dyDescent="0.3">
      <c r="A659" s="1852" t="s">
        <v>3221</v>
      </c>
      <c r="B659" s="1462"/>
      <c r="C659" s="1456">
        <v>640</v>
      </c>
      <c r="D659" s="1456">
        <v>640</v>
      </c>
      <c r="E659" s="1462"/>
      <c r="J659" s="1541">
        <f t="shared" si="40"/>
        <v>0</v>
      </c>
      <c r="K659" s="1541">
        <f t="shared" si="41"/>
        <v>640</v>
      </c>
      <c r="L659" s="1541">
        <f t="shared" si="42"/>
        <v>640</v>
      </c>
      <c r="M659" s="1541">
        <f t="shared" si="43"/>
        <v>0</v>
      </c>
    </row>
    <row r="660" spans="1:13" x14ac:dyDescent="0.3">
      <c r="A660" s="1852" t="s">
        <v>3223</v>
      </c>
      <c r="B660" s="1462"/>
      <c r="C660" s="1456">
        <v>2240</v>
      </c>
      <c r="D660" s="1456">
        <v>2240</v>
      </c>
      <c r="E660" s="1462"/>
      <c r="J660" s="1541">
        <f t="shared" si="40"/>
        <v>0</v>
      </c>
      <c r="K660" s="1541">
        <f t="shared" si="41"/>
        <v>2240</v>
      </c>
      <c r="L660" s="1541">
        <f t="shared" si="42"/>
        <v>2240</v>
      </c>
      <c r="M660" s="1541">
        <f t="shared" si="43"/>
        <v>0</v>
      </c>
    </row>
    <row r="661" spans="1:13" x14ac:dyDescent="0.3">
      <c r="A661" s="1852" t="s">
        <v>3224</v>
      </c>
      <c r="B661" s="1462"/>
      <c r="C661" s="1456">
        <v>2038</v>
      </c>
      <c r="D661" s="1456">
        <v>2038</v>
      </c>
      <c r="E661" s="1462"/>
      <c r="J661" s="1541">
        <f t="shared" si="40"/>
        <v>0</v>
      </c>
      <c r="K661" s="1541">
        <f t="shared" si="41"/>
        <v>2038</v>
      </c>
      <c r="L661" s="1541">
        <f t="shared" si="42"/>
        <v>2038</v>
      </c>
      <c r="M661" s="1541">
        <f t="shared" si="43"/>
        <v>0</v>
      </c>
    </row>
    <row r="662" spans="1:13" x14ac:dyDescent="0.3">
      <c r="A662" s="1852" t="s">
        <v>3225</v>
      </c>
      <c r="B662" s="1462"/>
      <c r="C662" s="1456">
        <v>992</v>
      </c>
      <c r="D662" s="1456">
        <v>992</v>
      </c>
      <c r="E662" s="1462"/>
      <c r="J662" s="1541">
        <f t="shared" si="40"/>
        <v>0</v>
      </c>
      <c r="K662" s="1541">
        <f t="shared" si="41"/>
        <v>992</v>
      </c>
      <c r="L662" s="1541">
        <f t="shared" si="42"/>
        <v>992</v>
      </c>
      <c r="M662" s="1541">
        <f t="shared" si="43"/>
        <v>0</v>
      </c>
    </row>
    <row r="663" spans="1:13" x14ac:dyDescent="0.3">
      <c r="A663" s="1852" t="s">
        <v>3226</v>
      </c>
      <c r="B663" s="1462"/>
      <c r="C663" s="1456">
        <v>140</v>
      </c>
      <c r="D663" s="1456">
        <v>140</v>
      </c>
      <c r="E663" s="1462"/>
      <c r="J663" s="1541">
        <f t="shared" si="40"/>
        <v>0</v>
      </c>
      <c r="K663" s="1541">
        <f t="shared" si="41"/>
        <v>140</v>
      </c>
      <c r="L663" s="1541">
        <f t="shared" si="42"/>
        <v>140</v>
      </c>
      <c r="M663" s="1541">
        <f t="shared" si="43"/>
        <v>0</v>
      </c>
    </row>
    <row r="664" spans="1:13" x14ac:dyDescent="0.3">
      <c r="A664" s="1852" t="s">
        <v>3227</v>
      </c>
      <c r="B664" s="1462"/>
      <c r="C664" s="1456">
        <v>4440</v>
      </c>
      <c r="D664" s="1456">
        <v>4440</v>
      </c>
      <c r="E664" s="1462"/>
      <c r="J664" s="1541">
        <f t="shared" si="40"/>
        <v>0</v>
      </c>
      <c r="K664" s="1541">
        <f t="shared" si="41"/>
        <v>4440</v>
      </c>
      <c r="L664" s="1541">
        <f t="shared" si="42"/>
        <v>4440</v>
      </c>
      <c r="M664" s="1541">
        <f t="shared" si="43"/>
        <v>0</v>
      </c>
    </row>
    <row r="665" spans="1:13" x14ac:dyDescent="0.3">
      <c r="A665" s="1855" t="s">
        <v>3228</v>
      </c>
      <c r="B665" s="1462"/>
      <c r="C665" s="1456">
        <v>130150</v>
      </c>
      <c r="D665" s="1456">
        <v>130150</v>
      </c>
      <c r="E665" s="1462"/>
      <c r="J665" s="1541">
        <f t="shared" si="40"/>
        <v>0</v>
      </c>
      <c r="K665" s="1541">
        <f t="shared" si="41"/>
        <v>130150</v>
      </c>
      <c r="L665" s="1541">
        <f t="shared" si="42"/>
        <v>130150</v>
      </c>
      <c r="M665" s="1541">
        <f t="shared" si="43"/>
        <v>0</v>
      </c>
    </row>
    <row r="666" spans="1:13" x14ac:dyDescent="0.3">
      <c r="A666" s="1852" t="s">
        <v>3229</v>
      </c>
      <c r="B666" s="1462"/>
      <c r="C666" s="1456">
        <v>837</v>
      </c>
      <c r="D666" s="1456">
        <v>837</v>
      </c>
      <c r="E666" s="1462"/>
      <c r="J666" s="1541">
        <f t="shared" si="40"/>
        <v>0</v>
      </c>
      <c r="K666" s="1541">
        <f t="shared" si="41"/>
        <v>837</v>
      </c>
      <c r="L666" s="1541">
        <f t="shared" si="42"/>
        <v>837</v>
      </c>
      <c r="M666" s="1541">
        <f t="shared" si="43"/>
        <v>0</v>
      </c>
    </row>
    <row r="667" spans="1:13" x14ac:dyDescent="0.3">
      <c r="A667" s="1852" t="s">
        <v>3230</v>
      </c>
      <c r="B667" s="1462"/>
      <c r="C667" s="1456">
        <v>1854</v>
      </c>
      <c r="D667" s="1456">
        <v>1854</v>
      </c>
      <c r="E667" s="1462"/>
      <c r="J667" s="1541">
        <f t="shared" si="40"/>
        <v>0</v>
      </c>
      <c r="K667" s="1541">
        <f t="shared" si="41"/>
        <v>1854</v>
      </c>
      <c r="L667" s="1541">
        <f t="shared" si="42"/>
        <v>1854</v>
      </c>
      <c r="M667" s="1541">
        <f t="shared" si="43"/>
        <v>0</v>
      </c>
    </row>
    <row r="668" spans="1:13" x14ac:dyDescent="0.3">
      <c r="A668" s="1852" t="s">
        <v>3231</v>
      </c>
      <c r="B668" s="1462"/>
      <c r="C668" s="1456">
        <v>7100</v>
      </c>
      <c r="D668" s="1456">
        <v>7100</v>
      </c>
      <c r="E668" s="1462"/>
      <c r="J668" s="1541">
        <f t="shared" si="40"/>
        <v>0</v>
      </c>
      <c r="K668" s="1541">
        <f t="shared" si="41"/>
        <v>7100</v>
      </c>
      <c r="L668" s="1541">
        <f t="shared" si="42"/>
        <v>7100</v>
      </c>
      <c r="M668" s="1541">
        <f t="shared" si="43"/>
        <v>0</v>
      </c>
    </row>
    <row r="669" spans="1:13" x14ac:dyDescent="0.3">
      <c r="A669" s="1852" t="s">
        <v>3232</v>
      </c>
      <c r="B669" s="1462"/>
      <c r="C669" s="1456">
        <v>420</v>
      </c>
      <c r="D669" s="1456">
        <v>420</v>
      </c>
      <c r="E669" s="1462"/>
      <c r="J669" s="1541">
        <f t="shared" si="40"/>
        <v>0</v>
      </c>
      <c r="K669" s="1541">
        <f t="shared" si="41"/>
        <v>420</v>
      </c>
      <c r="L669" s="1541">
        <f t="shared" si="42"/>
        <v>420</v>
      </c>
      <c r="M669" s="1541">
        <f t="shared" si="43"/>
        <v>0</v>
      </c>
    </row>
    <row r="670" spans="1:13" x14ac:dyDescent="0.3">
      <c r="A670" s="1852" t="s">
        <v>3233</v>
      </c>
      <c r="B670" s="1462"/>
      <c r="C670" s="1456">
        <v>1660</v>
      </c>
      <c r="D670" s="1456">
        <v>1660</v>
      </c>
      <c r="E670" s="1462"/>
      <c r="J670" s="1541">
        <f t="shared" si="40"/>
        <v>0</v>
      </c>
      <c r="K670" s="1541">
        <f t="shared" si="41"/>
        <v>1660</v>
      </c>
      <c r="L670" s="1541">
        <f t="shared" si="42"/>
        <v>1660</v>
      </c>
      <c r="M670" s="1541">
        <f t="shared" si="43"/>
        <v>0</v>
      </c>
    </row>
    <row r="671" spans="1:13" x14ac:dyDescent="0.3">
      <c r="A671" s="1852" t="s">
        <v>3234</v>
      </c>
      <c r="B671" s="1462"/>
      <c r="C671" s="1456">
        <v>912</v>
      </c>
      <c r="D671" s="1456">
        <v>912</v>
      </c>
      <c r="E671" s="1462"/>
      <c r="J671" s="1541">
        <f t="shared" si="40"/>
        <v>0</v>
      </c>
      <c r="K671" s="1541">
        <f t="shared" si="41"/>
        <v>912</v>
      </c>
      <c r="L671" s="1541">
        <f t="shared" si="42"/>
        <v>912</v>
      </c>
      <c r="M671" s="1541">
        <f t="shared" si="43"/>
        <v>0</v>
      </c>
    </row>
    <row r="672" spans="1:13" x14ac:dyDescent="0.3">
      <c r="A672" s="1855" t="s">
        <v>3236</v>
      </c>
      <c r="B672" s="1462"/>
      <c r="C672" s="1456">
        <v>37305.019999999997</v>
      </c>
      <c r="D672" s="1456">
        <v>37305.019999999997</v>
      </c>
      <c r="E672" s="1462"/>
      <c r="J672" s="1541">
        <f t="shared" si="40"/>
        <v>0</v>
      </c>
      <c r="K672" s="1541">
        <f t="shared" si="41"/>
        <v>37305.019999999997</v>
      </c>
      <c r="L672" s="1541">
        <f t="shared" si="42"/>
        <v>37305.019999999997</v>
      </c>
      <c r="M672" s="1541">
        <f t="shared" si="43"/>
        <v>0</v>
      </c>
    </row>
    <row r="673" spans="1:13" x14ac:dyDescent="0.3">
      <c r="A673" s="1855" t="s">
        <v>3237</v>
      </c>
      <c r="B673" s="1462"/>
      <c r="C673" s="1456">
        <v>2015</v>
      </c>
      <c r="D673" s="1456">
        <v>2015</v>
      </c>
      <c r="E673" s="1462"/>
      <c r="J673" s="1541">
        <f t="shared" si="40"/>
        <v>0</v>
      </c>
      <c r="K673" s="1541">
        <f t="shared" si="41"/>
        <v>2015</v>
      </c>
      <c r="L673" s="1541">
        <f t="shared" si="42"/>
        <v>2015</v>
      </c>
      <c r="M673" s="1541">
        <f t="shared" si="43"/>
        <v>0</v>
      </c>
    </row>
    <row r="674" spans="1:13" x14ac:dyDescent="0.3">
      <c r="A674" s="1852" t="s">
        <v>3238</v>
      </c>
      <c r="B674" s="1462"/>
      <c r="C674" s="1456">
        <v>2563</v>
      </c>
      <c r="D674" s="1456">
        <v>2563</v>
      </c>
      <c r="E674" s="1462"/>
      <c r="J674" s="1541">
        <f t="shared" ref="J674:J737" si="44">B674+F674</f>
        <v>0</v>
      </c>
      <c r="K674" s="1541">
        <f t="shared" ref="K674:K737" si="45">C674+G674</f>
        <v>2563</v>
      </c>
      <c r="L674" s="1541">
        <f t="shared" ref="L674:L737" si="46">D674+H674</f>
        <v>2563</v>
      </c>
      <c r="M674" s="1541">
        <f t="shared" ref="M674:M737" si="47">E674+I674</f>
        <v>0</v>
      </c>
    </row>
    <row r="675" spans="1:13" x14ac:dyDescent="0.3">
      <c r="A675" s="1855" t="s">
        <v>3239</v>
      </c>
      <c r="B675" s="1462"/>
      <c r="C675" s="1456">
        <v>12700</v>
      </c>
      <c r="D675" s="1456">
        <v>12700</v>
      </c>
      <c r="E675" s="1462"/>
      <c r="J675" s="1541">
        <f t="shared" si="44"/>
        <v>0</v>
      </c>
      <c r="K675" s="1541">
        <f t="shared" si="45"/>
        <v>12700</v>
      </c>
      <c r="L675" s="1541">
        <f t="shared" si="46"/>
        <v>12700</v>
      </c>
      <c r="M675" s="1541">
        <f t="shared" si="47"/>
        <v>0</v>
      </c>
    </row>
    <row r="676" spans="1:13" x14ac:dyDescent="0.3">
      <c r="A676" s="1855" t="s">
        <v>3241</v>
      </c>
      <c r="B676" s="1462"/>
      <c r="C676" s="1456">
        <v>1490</v>
      </c>
      <c r="D676" s="1456">
        <v>1490</v>
      </c>
      <c r="E676" s="1462"/>
      <c r="J676" s="1541">
        <f t="shared" si="44"/>
        <v>0</v>
      </c>
      <c r="K676" s="1541">
        <f t="shared" si="45"/>
        <v>1490</v>
      </c>
      <c r="L676" s="1541">
        <f t="shared" si="46"/>
        <v>1490</v>
      </c>
      <c r="M676" s="1541">
        <f t="shared" si="47"/>
        <v>0</v>
      </c>
    </row>
    <row r="677" spans="1:13" x14ac:dyDescent="0.3">
      <c r="A677" s="1855" t="s">
        <v>3242</v>
      </c>
      <c r="B677" s="1462"/>
      <c r="C677" s="1456">
        <v>194389</v>
      </c>
      <c r="D677" s="1456">
        <v>194389</v>
      </c>
      <c r="E677" s="1462"/>
      <c r="J677" s="1541">
        <f t="shared" si="44"/>
        <v>0</v>
      </c>
      <c r="K677" s="1541">
        <f t="shared" si="45"/>
        <v>194389</v>
      </c>
      <c r="L677" s="1541">
        <f t="shared" si="46"/>
        <v>194389</v>
      </c>
      <c r="M677" s="1541">
        <f t="shared" si="47"/>
        <v>0</v>
      </c>
    </row>
    <row r="678" spans="1:13" x14ac:dyDescent="0.3">
      <c r="A678" s="1852" t="s">
        <v>3243</v>
      </c>
      <c r="B678" s="1462"/>
      <c r="C678" s="1456">
        <v>370</v>
      </c>
      <c r="D678" s="1456">
        <v>370</v>
      </c>
      <c r="E678" s="1462"/>
      <c r="J678" s="1541">
        <f t="shared" si="44"/>
        <v>0</v>
      </c>
      <c r="K678" s="1541">
        <f t="shared" si="45"/>
        <v>370</v>
      </c>
      <c r="L678" s="1541">
        <f t="shared" si="46"/>
        <v>370</v>
      </c>
      <c r="M678" s="1541">
        <f t="shared" si="47"/>
        <v>0</v>
      </c>
    </row>
    <row r="679" spans="1:13" x14ac:dyDescent="0.3">
      <c r="A679" s="1852" t="s">
        <v>3244</v>
      </c>
      <c r="B679" s="1462"/>
      <c r="C679" s="1456">
        <v>1132</v>
      </c>
      <c r="D679" s="1456">
        <v>1132</v>
      </c>
      <c r="E679" s="1462"/>
      <c r="J679" s="1541">
        <f t="shared" si="44"/>
        <v>0</v>
      </c>
      <c r="K679" s="1541">
        <f t="shared" si="45"/>
        <v>1132</v>
      </c>
      <c r="L679" s="1541">
        <f t="shared" si="46"/>
        <v>1132</v>
      </c>
      <c r="M679" s="1541">
        <f t="shared" si="47"/>
        <v>0</v>
      </c>
    </row>
    <row r="680" spans="1:13" x14ac:dyDescent="0.3">
      <c r="A680" s="1852" t="s">
        <v>3245</v>
      </c>
      <c r="B680" s="1462"/>
      <c r="C680" s="1456">
        <v>1452</v>
      </c>
      <c r="D680" s="1456">
        <v>1452</v>
      </c>
      <c r="E680" s="1462"/>
      <c r="J680" s="1541">
        <f t="shared" si="44"/>
        <v>0</v>
      </c>
      <c r="K680" s="1541">
        <f t="shared" si="45"/>
        <v>1452</v>
      </c>
      <c r="L680" s="1541">
        <f t="shared" si="46"/>
        <v>1452</v>
      </c>
      <c r="M680" s="1541">
        <f t="shared" si="47"/>
        <v>0</v>
      </c>
    </row>
    <row r="681" spans="1:13" x14ac:dyDescent="0.3">
      <c r="A681" s="1855" t="s">
        <v>3246</v>
      </c>
      <c r="B681" s="1462"/>
      <c r="C681" s="1456">
        <v>830</v>
      </c>
      <c r="D681" s="1456">
        <v>830</v>
      </c>
      <c r="E681" s="1462"/>
      <c r="J681" s="1541">
        <f t="shared" si="44"/>
        <v>0</v>
      </c>
      <c r="K681" s="1541">
        <f t="shared" si="45"/>
        <v>830</v>
      </c>
      <c r="L681" s="1541">
        <f t="shared" si="46"/>
        <v>830</v>
      </c>
      <c r="M681" s="1541">
        <f t="shared" si="47"/>
        <v>0</v>
      </c>
    </row>
    <row r="682" spans="1:13" x14ac:dyDescent="0.3">
      <c r="A682" s="1852" t="s">
        <v>3248</v>
      </c>
      <c r="B682" s="1462"/>
      <c r="C682" s="1456">
        <v>280</v>
      </c>
      <c r="D682" s="1456">
        <v>280</v>
      </c>
      <c r="E682" s="1462"/>
      <c r="J682" s="1541">
        <f t="shared" si="44"/>
        <v>0</v>
      </c>
      <c r="K682" s="1541">
        <f t="shared" si="45"/>
        <v>280</v>
      </c>
      <c r="L682" s="1541">
        <f t="shared" si="46"/>
        <v>280</v>
      </c>
      <c r="M682" s="1541">
        <f t="shared" si="47"/>
        <v>0</v>
      </c>
    </row>
    <row r="683" spans="1:13" x14ac:dyDescent="0.3">
      <c r="A683" s="1852" t="s">
        <v>3249</v>
      </c>
      <c r="B683" s="1462"/>
      <c r="C683" s="1456">
        <v>4125</v>
      </c>
      <c r="D683" s="1456">
        <v>4125</v>
      </c>
      <c r="E683" s="1462"/>
      <c r="J683" s="1541">
        <f t="shared" si="44"/>
        <v>0</v>
      </c>
      <c r="K683" s="1541">
        <f t="shared" si="45"/>
        <v>4125</v>
      </c>
      <c r="L683" s="1541">
        <f t="shared" si="46"/>
        <v>4125</v>
      </c>
      <c r="M683" s="1541">
        <f t="shared" si="47"/>
        <v>0</v>
      </c>
    </row>
    <row r="684" spans="1:13" x14ac:dyDescent="0.3">
      <c r="A684" s="1852" t="s">
        <v>3250</v>
      </c>
      <c r="B684" s="1462"/>
      <c r="C684" s="1456">
        <v>830</v>
      </c>
      <c r="D684" s="1456">
        <v>830</v>
      </c>
      <c r="E684" s="1462"/>
      <c r="J684" s="1541">
        <f t="shared" si="44"/>
        <v>0</v>
      </c>
      <c r="K684" s="1541">
        <f t="shared" si="45"/>
        <v>830</v>
      </c>
      <c r="L684" s="1541">
        <f t="shared" si="46"/>
        <v>830</v>
      </c>
      <c r="M684" s="1541">
        <f t="shared" si="47"/>
        <v>0</v>
      </c>
    </row>
    <row r="685" spans="1:13" x14ac:dyDescent="0.3">
      <c r="A685" s="1855" t="s">
        <v>3251</v>
      </c>
      <c r="B685" s="1462"/>
      <c r="C685" s="1456">
        <v>9978</v>
      </c>
      <c r="D685" s="1456">
        <v>9978</v>
      </c>
      <c r="E685" s="1462"/>
      <c r="J685" s="1541">
        <f t="shared" si="44"/>
        <v>0</v>
      </c>
      <c r="K685" s="1541">
        <f t="shared" si="45"/>
        <v>9978</v>
      </c>
      <c r="L685" s="1541">
        <f t="shared" si="46"/>
        <v>9978</v>
      </c>
      <c r="M685" s="1541">
        <f t="shared" si="47"/>
        <v>0</v>
      </c>
    </row>
    <row r="686" spans="1:13" x14ac:dyDescent="0.3">
      <c r="A686" s="1855" t="s">
        <v>3252</v>
      </c>
      <c r="B686" s="1462"/>
      <c r="C686" s="1456">
        <v>11410</v>
      </c>
      <c r="D686" s="1456">
        <v>11410</v>
      </c>
      <c r="E686" s="1462"/>
      <c r="J686" s="1541">
        <f t="shared" si="44"/>
        <v>0</v>
      </c>
      <c r="K686" s="1541">
        <f t="shared" si="45"/>
        <v>11410</v>
      </c>
      <c r="L686" s="1541">
        <f t="shared" si="46"/>
        <v>11410</v>
      </c>
      <c r="M686" s="1541">
        <f t="shared" si="47"/>
        <v>0</v>
      </c>
    </row>
    <row r="687" spans="1:13" x14ac:dyDescent="0.3">
      <c r="A687" s="1855" t="s">
        <v>3253</v>
      </c>
      <c r="B687" s="1462"/>
      <c r="C687" s="1456">
        <v>1870</v>
      </c>
      <c r="D687" s="1456">
        <v>1870</v>
      </c>
      <c r="E687" s="1462"/>
      <c r="J687" s="1541">
        <f t="shared" si="44"/>
        <v>0</v>
      </c>
      <c r="K687" s="1541">
        <f t="shared" si="45"/>
        <v>1870</v>
      </c>
      <c r="L687" s="1541">
        <f t="shared" si="46"/>
        <v>1870</v>
      </c>
      <c r="M687" s="1541">
        <f t="shared" si="47"/>
        <v>0</v>
      </c>
    </row>
    <row r="688" spans="1:13" x14ac:dyDescent="0.3">
      <c r="A688" s="1855" t="s">
        <v>3254</v>
      </c>
      <c r="B688" s="1462"/>
      <c r="C688" s="1456">
        <v>17954</v>
      </c>
      <c r="D688" s="1456">
        <v>17954</v>
      </c>
      <c r="E688" s="1462"/>
      <c r="J688" s="1541">
        <f t="shared" si="44"/>
        <v>0</v>
      </c>
      <c r="K688" s="1541">
        <f t="shared" si="45"/>
        <v>17954</v>
      </c>
      <c r="L688" s="1541">
        <f t="shared" si="46"/>
        <v>17954</v>
      </c>
      <c r="M688" s="1541">
        <f t="shared" si="47"/>
        <v>0</v>
      </c>
    </row>
    <row r="689" spans="1:13" x14ac:dyDescent="0.3">
      <c r="A689" s="1852" t="s">
        <v>3255</v>
      </c>
      <c r="B689" s="1462"/>
      <c r="C689" s="1456">
        <v>3252</v>
      </c>
      <c r="D689" s="1456">
        <v>3252</v>
      </c>
      <c r="E689" s="1462"/>
      <c r="J689" s="1541">
        <f t="shared" si="44"/>
        <v>0</v>
      </c>
      <c r="K689" s="1541">
        <f t="shared" si="45"/>
        <v>3252</v>
      </c>
      <c r="L689" s="1541">
        <f t="shared" si="46"/>
        <v>3252</v>
      </c>
      <c r="M689" s="1541">
        <f t="shared" si="47"/>
        <v>0</v>
      </c>
    </row>
    <row r="690" spans="1:13" x14ac:dyDescent="0.3">
      <c r="A690" s="1852" t="s">
        <v>3256</v>
      </c>
      <c r="B690" s="1462"/>
      <c r="C690" s="1456">
        <v>140</v>
      </c>
      <c r="D690" s="1456">
        <v>140</v>
      </c>
      <c r="E690" s="1462"/>
      <c r="J690" s="1541">
        <f t="shared" si="44"/>
        <v>0</v>
      </c>
      <c r="K690" s="1541">
        <f t="shared" si="45"/>
        <v>140</v>
      </c>
      <c r="L690" s="1541">
        <f t="shared" si="46"/>
        <v>140</v>
      </c>
      <c r="M690" s="1541">
        <f t="shared" si="47"/>
        <v>0</v>
      </c>
    </row>
    <row r="691" spans="1:13" x14ac:dyDescent="0.3">
      <c r="A691" s="1855" t="s">
        <v>3257</v>
      </c>
      <c r="B691" s="1462"/>
      <c r="C691" s="1456">
        <v>2453</v>
      </c>
      <c r="D691" s="1456">
        <v>2453</v>
      </c>
      <c r="E691" s="1462"/>
      <c r="J691" s="1541">
        <f t="shared" si="44"/>
        <v>0</v>
      </c>
      <c r="K691" s="1541">
        <f t="shared" si="45"/>
        <v>2453</v>
      </c>
      <c r="L691" s="1541">
        <f t="shared" si="46"/>
        <v>2453</v>
      </c>
      <c r="M691" s="1541">
        <f t="shared" si="47"/>
        <v>0</v>
      </c>
    </row>
    <row r="692" spans="1:13" x14ac:dyDescent="0.3">
      <c r="A692" s="1852" t="s">
        <v>3258</v>
      </c>
      <c r="B692" s="1462"/>
      <c r="C692" s="1456">
        <v>166</v>
      </c>
      <c r="D692" s="1456">
        <v>166</v>
      </c>
      <c r="E692" s="1462"/>
      <c r="J692" s="1541">
        <f t="shared" si="44"/>
        <v>0</v>
      </c>
      <c r="K692" s="1541">
        <f t="shared" si="45"/>
        <v>166</v>
      </c>
      <c r="L692" s="1541">
        <f t="shared" si="46"/>
        <v>166</v>
      </c>
      <c r="M692" s="1541">
        <f t="shared" si="47"/>
        <v>0</v>
      </c>
    </row>
    <row r="693" spans="1:13" x14ac:dyDescent="0.3">
      <c r="A693" s="1852" t="s">
        <v>3259</v>
      </c>
      <c r="B693" s="1462"/>
      <c r="C693" s="1456">
        <v>3172</v>
      </c>
      <c r="D693" s="1456">
        <v>3172</v>
      </c>
      <c r="E693" s="1462"/>
      <c r="J693" s="1541">
        <f t="shared" si="44"/>
        <v>0</v>
      </c>
      <c r="K693" s="1541">
        <f t="shared" si="45"/>
        <v>3172</v>
      </c>
      <c r="L693" s="1541">
        <f t="shared" si="46"/>
        <v>3172</v>
      </c>
      <c r="M693" s="1541">
        <f t="shared" si="47"/>
        <v>0</v>
      </c>
    </row>
    <row r="694" spans="1:13" x14ac:dyDescent="0.3">
      <c r="A694" s="1852" t="s">
        <v>3260</v>
      </c>
      <c r="B694" s="1462"/>
      <c r="C694" s="1456">
        <v>5785</v>
      </c>
      <c r="D694" s="1456">
        <v>5785</v>
      </c>
      <c r="E694" s="1462"/>
      <c r="J694" s="1541">
        <f t="shared" si="44"/>
        <v>0</v>
      </c>
      <c r="K694" s="1541">
        <f t="shared" si="45"/>
        <v>5785</v>
      </c>
      <c r="L694" s="1541">
        <f t="shared" si="46"/>
        <v>5785</v>
      </c>
      <c r="M694" s="1541">
        <f t="shared" si="47"/>
        <v>0</v>
      </c>
    </row>
    <row r="695" spans="1:13" x14ac:dyDescent="0.3">
      <c r="A695" s="1852" t="s">
        <v>3261</v>
      </c>
      <c r="B695" s="1462"/>
      <c r="C695" s="1456">
        <v>380</v>
      </c>
      <c r="D695" s="1456">
        <v>380</v>
      </c>
      <c r="E695" s="1462"/>
      <c r="J695" s="1541">
        <f t="shared" si="44"/>
        <v>0</v>
      </c>
      <c r="K695" s="1541">
        <f t="shared" si="45"/>
        <v>380</v>
      </c>
      <c r="L695" s="1541">
        <f t="shared" si="46"/>
        <v>380</v>
      </c>
      <c r="M695" s="1541">
        <f t="shared" si="47"/>
        <v>0</v>
      </c>
    </row>
    <row r="696" spans="1:13" x14ac:dyDescent="0.3">
      <c r="A696" s="1852" t="s">
        <v>3262</v>
      </c>
      <c r="B696" s="1462"/>
      <c r="C696" s="1456">
        <v>3040</v>
      </c>
      <c r="D696" s="1456">
        <v>3040</v>
      </c>
      <c r="E696" s="1462"/>
      <c r="J696" s="1541">
        <f t="shared" si="44"/>
        <v>0</v>
      </c>
      <c r="K696" s="1541">
        <f t="shared" si="45"/>
        <v>3040</v>
      </c>
      <c r="L696" s="1541">
        <f t="shared" si="46"/>
        <v>3040</v>
      </c>
      <c r="M696" s="1541">
        <f t="shared" si="47"/>
        <v>0</v>
      </c>
    </row>
    <row r="697" spans="1:13" x14ac:dyDescent="0.3">
      <c r="A697" s="1855" t="s">
        <v>3263</v>
      </c>
      <c r="B697" s="1462"/>
      <c r="C697" s="1456">
        <v>306</v>
      </c>
      <c r="D697" s="1456">
        <v>306</v>
      </c>
      <c r="E697" s="1462"/>
      <c r="J697" s="1541">
        <f t="shared" si="44"/>
        <v>0</v>
      </c>
      <c r="K697" s="1541">
        <f t="shared" si="45"/>
        <v>306</v>
      </c>
      <c r="L697" s="1541">
        <f t="shared" si="46"/>
        <v>306</v>
      </c>
      <c r="M697" s="1541">
        <f t="shared" si="47"/>
        <v>0</v>
      </c>
    </row>
    <row r="698" spans="1:13" x14ac:dyDescent="0.3">
      <c r="A698" s="1855" t="s">
        <v>3264</v>
      </c>
      <c r="B698" s="1462"/>
      <c r="C698" s="1456">
        <v>2190</v>
      </c>
      <c r="D698" s="1456">
        <v>2190</v>
      </c>
      <c r="E698" s="1462"/>
      <c r="J698" s="1541">
        <f t="shared" si="44"/>
        <v>0</v>
      </c>
      <c r="K698" s="1541">
        <f t="shared" si="45"/>
        <v>2190</v>
      </c>
      <c r="L698" s="1541">
        <f t="shared" si="46"/>
        <v>2190</v>
      </c>
      <c r="M698" s="1541">
        <f t="shared" si="47"/>
        <v>0</v>
      </c>
    </row>
    <row r="699" spans="1:13" x14ac:dyDescent="0.3">
      <c r="A699" s="1852" t="s">
        <v>3265</v>
      </c>
      <c r="B699" s="1462"/>
      <c r="C699" s="1456">
        <v>1742</v>
      </c>
      <c r="D699" s="1456">
        <v>1742</v>
      </c>
      <c r="E699" s="1462"/>
      <c r="J699" s="1541">
        <f t="shared" si="44"/>
        <v>0</v>
      </c>
      <c r="K699" s="1541">
        <f t="shared" si="45"/>
        <v>1742</v>
      </c>
      <c r="L699" s="1541">
        <f t="shared" si="46"/>
        <v>1742</v>
      </c>
      <c r="M699" s="1541">
        <f t="shared" si="47"/>
        <v>0</v>
      </c>
    </row>
    <row r="700" spans="1:13" x14ac:dyDescent="0.3">
      <c r="A700" s="1852" t="s">
        <v>3266</v>
      </c>
      <c r="B700" s="1462"/>
      <c r="C700" s="1456">
        <v>600</v>
      </c>
      <c r="D700" s="1456">
        <v>600</v>
      </c>
      <c r="E700" s="1462"/>
      <c r="J700" s="1541">
        <f t="shared" si="44"/>
        <v>0</v>
      </c>
      <c r="K700" s="1541">
        <f t="shared" si="45"/>
        <v>600</v>
      </c>
      <c r="L700" s="1541">
        <f t="shared" si="46"/>
        <v>600</v>
      </c>
      <c r="M700" s="1541">
        <f t="shared" si="47"/>
        <v>0</v>
      </c>
    </row>
    <row r="701" spans="1:13" x14ac:dyDescent="0.3">
      <c r="A701" s="1855" t="s">
        <v>3268</v>
      </c>
      <c r="B701" s="1462"/>
      <c r="C701" s="1456">
        <v>4770</v>
      </c>
      <c r="D701" s="1456">
        <v>4770</v>
      </c>
      <c r="E701" s="1462"/>
      <c r="J701" s="1541">
        <f t="shared" si="44"/>
        <v>0</v>
      </c>
      <c r="K701" s="1541">
        <f t="shared" si="45"/>
        <v>4770</v>
      </c>
      <c r="L701" s="1541">
        <f t="shared" si="46"/>
        <v>4770</v>
      </c>
      <c r="M701" s="1541">
        <f t="shared" si="47"/>
        <v>0</v>
      </c>
    </row>
    <row r="702" spans="1:13" x14ac:dyDescent="0.3">
      <c r="A702" s="1855" t="s">
        <v>3269</v>
      </c>
      <c r="B702" s="1462"/>
      <c r="C702" s="1456">
        <v>16193</v>
      </c>
      <c r="D702" s="1456">
        <v>16193</v>
      </c>
      <c r="E702" s="1462"/>
      <c r="J702" s="1541">
        <f t="shared" si="44"/>
        <v>0</v>
      </c>
      <c r="K702" s="1541">
        <f t="shared" si="45"/>
        <v>16193</v>
      </c>
      <c r="L702" s="1541">
        <f t="shared" si="46"/>
        <v>16193</v>
      </c>
      <c r="M702" s="1541">
        <f t="shared" si="47"/>
        <v>0</v>
      </c>
    </row>
    <row r="703" spans="1:13" x14ac:dyDescent="0.3">
      <c r="A703" s="1855" t="s">
        <v>3270</v>
      </c>
      <c r="B703" s="1462"/>
      <c r="C703" s="1456">
        <v>1270</v>
      </c>
      <c r="D703" s="1456">
        <v>1270</v>
      </c>
      <c r="E703" s="1462"/>
      <c r="J703" s="1541">
        <f t="shared" si="44"/>
        <v>0</v>
      </c>
      <c r="K703" s="1541">
        <f t="shared" si="45"/>
        <v>1270</v>
      </c>
      <c r="L703" s="1541">
        <f t="shared" si="46"/>
        <v>1270</v>
      </c>
      <c r="M703" s="1541">
        <f t="shared" si="47"/>
        <v>0</v>
      </c>
    </row>
    <row r="704" spans="1:13" x14ac:dyDescent="0.3">
      <c r="A704" s="1855" t="s">
        <v>3271</v>
      </c>
      <c r="B704" s="1462"/>
      <c r="C704" s="1456">
        <v>5426</v>
      </c>
      <c r="D704" s="1456">
        <v>5426</v>
      </c>
      <c r="E704" s="1462"/>
      <c r="J704" s="1541">
        <f t="shared" si="44"/>
        <v>0</v>
      </c>
      <c r="K704" s="1541">
        <f t="shared" si="45"/>
        <v>5426</v>
      </c>
      <c r="L704" s="1541">
        <f t="shared" si="46"/>
        <v>5426</v>
      </c>
      <c r="M704" s="1541">
        <f t="shared" si="47"/>
        <v>0</v>
      </c>
    </row>
    <row r="705" spans="1:13" x14ac:dyDescent="0.3">
      <c r="A705" s="1855" t="s">
        <v>3273</v>
      </c>
      <c r="B705" s="1462"/>
      <c r="C705" s="1456">
        <v>3742</v>
      </c>
      <c r="D705" s="1456">
        <v>3742</v>
      </c>
      <c r="E705" s="1462"/>
      <c r="J705" s="1541">
        <f t="shared" si="44"/>
        <v>0</v>
      </c>
      <c r="K705" s="1541">
        <f t="shared" si="45"/>
        <v>3742</v>
      </c>
      <c r="L705" s="1541">
        <f t="shared" si="46"/>
        <v>3742</v>
      </c>
      <c r="M705" s="1541">
        <f t="shared" si="47"/>
        <v>0</v>
      </c>
    </row>
    <row r="706" spans="1:13" x14ac:dyDescent="0.3">
      <c r="A706" s="1852" t="s">
        <v>3275</v>
      </c>
      <c r="B706" s="1462"/>
      <c r="C706" s="1456">
        <v>892</v>
      </c>
      <c r="D706" s="1456">
        <v>892</v>
      </c>
      <c r="E706" s="1462"/>
      <c r="J706" s="1541">
        <f t="shared" si="44"/>
        <v>0</v>
      </c>
      <c r="K706" s="1541">
        <f t="shared" si="45"/>
        <v>892</v>
      </c>
      <c r="L706" s="1541">
        <f t="shared" si="46"/>
        <v>892</v>
      </c>
      <c r="M706" s="1541">
        <f t="shared" si="47"/>
        <v>0</v>
      </c>
    </row>
    <row r="707" spans="1:13" x14ac:dyDescent="0.3">
      <c r="A707" s="1852" t="s">
        <v>3280</v>
      </c>
      <c r="B707" s="1462"/>
      <c r="C707" s="1456">
        <v>4903</v>
      </c>
      <c r="D707" s="1456">
        <v>4903</v>
      </c>
      <c r="E707" s="1462"/>
      <c r="J707" s="1541">
        <f t="shared" si="44"/>
        <v>0</v>
      </c>
      <c r="K707" s="1541">
        <f t="shared" si="45"/>
        <v>4903</v>
      </c>
      <c r="L707" s="1541">
        <f t="shared" si="46"/>
        <v>4903</v>
      </c>
      <c r="M707" s="1541">
        <f t="shared" si="47"/>
        <v>0</v>
      </c>
    </row>
    <row r="708" spans="1:13" x14ac:dyDescent="0.3">
      <c r="A708" s="1852" t="s">
        <v>3281</v>
      </c>
      <c r="B708" s="1462"/>
      <c r="C708" s="1456">
        <v>1370</v>
      </c>
      <c r="D708" s="1456">
        <v>1370</v>
      </c>
      <c r="E708" s="1462"/>
      <c r="J708" s="1541">
        <f t="shared" si="44"/>
        <v>0</v>
      </c>
      <c r="K708" s="1541">
        <f t="shared" si="45"/>
        <v>1370</v>
      </c>
      <c r="L708" s="1541">
        <f t="shared" si="46"/>
        <v>1370</v>
      </c>
      <c r="M708" s="1541">
        <f t="shared" si="47"/>
        <v>0</v>
      </c>
    </row>
    <row r="709" spans="1:13" x14ac:dyDescent="0.3">
      <c r="A709" s="1852" t="s">
        <v>3282</v>
      </c>
      <c r="B709" s="1462"/>
      <c r="C709" s="1456">
        <v>366</v>
      </c>
      <c r="D709" s="1456">
        <v>366</v>
      </c>
      <c r="E709" s="1462"/>
      <c r="J709" s="1541">
        <f t="shared" si="44"/>
        <v>0</v>
      </c>
      <c r="K709" s="1541">
        <f t="shared" si="45"/>
        <v>366</v>
      </c>
      <c r="L709" s="1541">
        <f t="shared" si="46"/>
        <v>366</v>
      </c>
      <c r="M709" s="1541">
        <f t="shared" si="47"/>
        <v>0</v>
      </c>
    </row>
    <row r="710" spans="1:13" x14ac:dyDescent="0.3">
      <c r="A710" s="1855" t="s">
        <v>3283</v>
      </c>
      <c r="B710" s="1462"/>
      <c r="C710" s="1456">
        <v>600</v>
      </c>
      <c r="D710" s="1456">
        <v>600</v>
      </c>
      <c r="E710" s="1462"/>
      <c r="J710" s="1541">
        <f t="shared" si="44"/>
        <v>0</v>
      </c>
      <c r="K710" s="1541">
        <f t="shared" si="45"/>
        <v>600</v>
      </c>
      <c r="L710" s="1541">
        <f t="shared" si="46"/>
        <v>600</v>
      </c>
      <c r="M710" s="1541">
        <f t="shared" si="47"/>
        <v>0</v>
      </c>
    </row>
    <row r="711" spans="1:13" x14ac:dyDescent="0.3">
      <c r="A711" s="1855" t="s">
        <v>3284</v>
      </c>
      <c r="B711" s="1462"/>
      <c r="C711" s="1456">
        <v>7692</v>
      </c>
      <c r="D711" s="1456">
        <v>7692</v>
      </c>
      <c r="E711" s="1462"/>
      <c r="J711" s="1541">
        <f t="shared" si="44"/>
        <v>0</v>
      </c>
      <c r="K711" s="1541">
        <f t="shared" si="45"/>
        <v>7692</v>
      </c>
      <c r="L711" s="1541">
        <f t="shared" si="46"/>
        <v>7692</v>
      </c>
      <c r="M711" s="1541">
        <f t="shared" si="47"/>
        <v>0</v>
      </c>
    </row>
    <row r="712" spans="1:13" x14ac:dyDescent="0.3">
      <c r="A712" s="1855" t="s">
        <v>3285</v>
      </c>
      <c r="B712" s="1462"/>
      <c r="C712" s="1456">
        <v>10148</v>
      </c>
      <c r="D712" s="1456">
        <v>10148</v>
      </c>
      <c r="E712" s="1462"/>
      <c r="J712" s="1541">
        <f t="shared" si="44"/>
        <v>0</v>
      </c>
      <c r="K712" s="1541">
        <f t="shared" si="45"/>
        <v>10148</v>
      </c>
      <c r="L712" s="1541">
        <f t="shared" si="46"/>
        <v>10148</v>
      </c>
      <c r="M712" s="1541">
        <f t="shared" si="47"/>
        <v>0</v>
      </c>
    </row>
    <row r="713" spans="1:13" x14ac:dyDescent="0.3">
      <c r="A713" s="1852" t="s">
        <v>3286</v>
      </c>
      <c r="B713" s="1462"/>
      <c r="C713" s="1456">
        <v>4111</v>
      </c>
      <c r="D713" s="1456">
        <v>4111</v>
      </c>
      <c r="E713" s="1462"/>
      <c r="J713" s="1541">
        <f t="shared" si="44"/>
        <v>0</v>
      </c>
      <c r="K713" s="1541">
        <f t="shared" si="45"/>
        <v>4111</v>
      </c>
      <c r="L713" s="1541">
        <f t="shared" si="46"/>
        <v>4111</v>
      </c>
      <c r="M713" s="1541">
        <f t="shared" si="47"/>
        <v>0</v>
      </c>
    </row>
    <row r="714" spans="1:13" x14ac:dyDescent="0.3">
      <c r="A714" s="1855" t="s">
        <v>3287</v>
      </c>
      <c r="B714" s="1462"/>
      <c r="C714" s="1456">
        <v>12700</v>
      </c>
      <c r="D714" s="1456">
        <v>12700</v>
      </c>
      <c r="E714" s="1462"/>
      <c r="J714" s="1541">
        <f t="shared" si="44"/>
        <v>0</v>
      </c>
      <c r="K714" s="1541">
        <f t="shared" si="45"/>
        <v>12700</v>
      </c>
      <c r="L714" s="1541">
        <f t="shared" si="46"/>
        <v>12700</v>
      </c>
      <c r="M714" s="1541">
        <f t="shared" si="47"/>
        <v>0</v>
      </c>
    </row>
    <row r="715" spans="1:13" x14ac:dyDescent="0.3">
      <c r="A715" s="1852" t="s">
        <v>3288</v>
      </c>
      <c r="B715" s="1462"/>
      <c r="C715" s="1456">
        <v>40652</v>
      </c>
      <c r="D715" s="1456">
        <v>40652</v>
      </c>
      <c r="E715" s="1462"/>
      <c r="J715" s="1541">
        <f t="shared" si="44"/>
        <v>0</v>
      </c>
      <c r="K715" s="1541">
        <f t="shared" si="45"/>
        <v>40652</v>
      </c>
      <c r="L715" s="1541">
        <f t="shared" si="46"/>
        <v>40652</v>
      </c>
      <c r="M715" s="1541">
        <f t="shared" si="47"/>
        <v>0</v>
      </c>
    </row>
    <row r="716" spans="1:13" x14ac:dyDescent="0.3">
      <c r="A716" s="1852" t="s">
        <v>3289</v>
      </c>
      <c r="B716" s="1462"/>
      <c r="C716" s="1456">
        <v>472</v>
      </c>
      <c r="D716" s="1456">
        <v>472</v>
      </c>
      <c r="E716" s="1462"/>
      <c r="J716" s="1541">
        <f t="shared" si="44"/>
        <v>0</v>
      </c>
      <c r="K716" s="1541">
        <f t="shared" si="45"/>
        <v>472</v>
      </c>
      <c r="L716" s="1541">
        <f t="shared" si="46"/>
        <v>472</v>
      </c>
      <c r="M716" s="1541">
        <f t="shared" si="47"/>
        <v>0</v>
      </c>
    </row>
    <row r="717" spans="1:13" x14ac:dyDescent="0.3">
      <c r="A717" s="1855" t="s">
        <v>3290</v>
      </c>
      <c r="B717" s="1462"/>
      <c r="C717" s="1456">
        <v>1350</v>
      </c>
      <c r="D717" s="1456">
        <v>1350</v>
      </c>
      <c r="E717" s="1462"/>
      <c r="J717" s="1541">
        <f t="shared" si="44"/>
        <v>0</v>
      </c>
      <c r="K717" s="1541">
        <f t="shared" si="45"/>
        <v>1350</v>
      </c>
      <c r="L717" s="1541">
        <f t="shared" si="46"/>
        <v>1350</v>
      </c>
      <c r="M717" s="1541">
        <f t="shared" si="47"/>
        <v>0</v>
      </c>
    </row>
    <row r="718" spans="1:13" x14ac:dyDescent="0.3">
      <c r="A718" s="1852" t="s">
        <v>3291</v>
      </c>
      <c r="B718" s="1462"/>
      <c r="C718" s="1456">
        <v>143702</v>
      </c>
      <c r="D718" s="1456">
        <v>143702</v>
      </c>
      <c r="E718" s="1462"/>
      <c r="J718" s="1541">
        <f t="shared" si="44"/>
        <v>0</v>
      </c>
      <c r="K718" s="1541">
        <f t="shared" si="45"/>
        <v>143702</v>
      </c>
      <c r="L718" s="1541">
        <f t="shared" si="46"/>
        <v>143702</v>
      </c>
      <c r="M718" s="1541">
        <f t="shared" si="47"/>
        <v>0</v>
      </c>
    </row>
    <row r="719" spans="1:13" x14ac:dyDescent="0.3">
      <c r="A719" s="1855" t="s">
        <v>3292</v>
      </c>
      <c r="B719" s="1462"/>
      <c r="C719" s="1456">
        <v>8250</v>
      </c>
      <c r="D719" s="1456">
        <v>8250</v>
      </c>
      <c r="E719" s="1462"/>
      <c r="J719" s="1541">
        <f t="shared" si="44"/>
        <v>0</v>
      </c>
      <c r="K719" s="1541">
        <f t="shared" si="45"/>
        <v>8250</v>
      </c>
      <c r="L719" s="1541">
        <f t="shared" si="46"/>
        <v>8250</v>
      </c>
      <c r="M719" s="1541">
        <f t="shared" si="47"/>
        <v>0</v>
      </c>
    </row>
    <row r="720" spans="1:13" x14ac:dyDescent="0.3">
      <c r="A720" s="1855" t="s">
        <v>3293</v>
      </c>
      <c r="B720" s="1462"/>
      <c r="C720" s="1456">
        <v>356</v>
      </c>
      <c r="D720" s="1456">
        <v>356</v>
      </c>
      <c r="E720" s="1462"/>
      <c r="J720" s="1541">
        <f t="shared" si="44"/>
        <v>0</v>
      </c>
      <c r="K720" s="1541">
        <f t="shared" si="45"/>
        <v>356</v>
      </c>
      <c r="L720" s="1541">
        <f t="shared" si="46"/>
        <v>356</v>
      </c>
      <c r="M720" s="1541">
        <f t="shared" si="47"/>
        <v>0</v>
      </c>
    </row>
    <row r="721" spans="1:13" x14ac:dyDescent="0.3">
      <c r="A721" s="1855" t="s">
        <v>3294</v>
      </c>
      <c r="B721" s="1462"/>
      <c r="C721" s="1456">
        <v>498</v>
      </c>
      <c r="D721" s="1456">
        <v>498</v>
      </c>
      <c r="E721" s="1462"/>
      <c r="J721" s="1541">
        <f t="shared" si="44"/>
        <v>0</v>
      </c>
      <c r="K721" s="1541">
        <f t="shared" si="45"/>
        <v>498</v>
      </c>
      <c r="L721" s="1541">
        <f t="shared" si="46"/>
        <v>498</v>
      </c>
      <c r="M721" s="1541">
        <f t="shared" si="47"/>
        <v>0</v>
      </c>
    </row>
    <row r="722" spans="1:13" x14ac:dyDescent="0.3">
      <c r="A722" s="1855" t="s">
        <v>3295</v>
      </c>
      <c r="B722" s="1462"/>
      <c r="C722" s="1456">
        <v>1501</v>
      </c>
      <c r="D722" s="1456">
        <v>1501</v>
      </c>
      <c r="E722" s="1462"/>
      <c r="J722" s="1541">
        <f t="shared" si="44"/>
        <v>0</v>
      </c>
      <c r="K722" s="1541">
        <f t="shared" si="45"/>
        <v>1501</v>
      </c>
      <c r="L722" s="1541">
        <f t="shared" si="46"/>
        <v>1501</v>
      </c>
      <c r="M722" s="1541">
        <f t="shared" si="47"/>
        <v>0</v>
      </c>
    </row>
    <row r="723" spans="1:13" x14ac:dyDescent="0.3">
      <c r="A723" s="1852" t="s">
        <v>3296</v>
      </c>
      <c r="B723" s="1462"/>
      <c r="C723" s="1456">
        <v>190</v>
      </c>
      <c r="D723" s="1456">
        <v>190</v>
      </c>
      <c r="E723" s="1462"/>
      <c r="J723" s="1541">
        <f t="shared" si="44"/>
        <v>0</v>
      </c>
      <c r="K723" s="1541">
        <f t="shared" si="45"/>
        <v>190</v>
      </c>
      <c r="L723" s="1541">
        <f t="shared" si="46"/>
        <v>190</v>
      </c>
      <c r="M723" s="1541">
        <f t="shared" si="47"/>
        <v>0</v>
      </c>
    </row>
    <row r="724" spans="1:13" x14ac:dyDescent="0.3">
      <c r="A724" s="1852" t="s">
        <v>3297</v>
      </c>
      <c r="B724" s="1462"/>
      <c r="C724" s="1456">
        <v>900</v>
      </c>
      <c r="D724" s="1456">
        <v>900</v>
      </c>
      <c r="E724" s="1462"/>
      <c r="J724" s="1541">
        <f t="shared" si="44"/>
        <v>0</v>
      </c>
      <c r="K724" s="1541">
        <f t="shared" si="45"/>
        <v>900</v>
      </c>
      <c r="L724" s="1541">
        <f t="shared" si="46"/>
        <v>900</v>
      </c>
      <c r="M724" s="1541">
        <f t="shared" si="47"/>
        <v>0</v>
      </c>
    </row>
    <row r="725" spans="1:13" x14ac:dyDescent="0.3">
      <c r="A725" s="1855" t="s">
        <v>3298</v>
      </c>
      <c r="B725" s="1462"/>
      <c r="C725" s="1456">
        <v>900</v>
      </c>
      <c r="D725" s="1456">
        <v>900</v>
      </c>
      <c r="E725" s="1462"/>
      <c r="J725" s="1541">
        <f t="shared" si="44"/>
        <v>0</v>
      </c>
      <c r="K725" s="1541">
        <f t="shared" si="45"/>
        <v>900</v>
      </c>
      <c r="L725" s="1541">
        <f t="shared" si="46"/>
        <v>900</v>
      </c>
      <c r="M725" s="1541">
        <f t="shared" si="47"/>
        <v>0</v>
      </c>
    </row>
    <row r="726" spans="1:13" x14ac:dyDescent="0.3">
      <c r="A726" s="1852" t="s">
        <v>3299</v>
      </c>
      <c r="B726" s="1462"/>
      <c r="C726" s="1456">
        <v>28317</v>
      </c>
      <c r="D726" s="1456">
        <v>28317</v>
      </c>
      <c r="E726" s="1462"/>
      <c r="J726" s="1541">
        <f t="shared" si="44"/>
        <v>0</v>
      </c>
      <c r="K726" s="1541">
        <f t="shared" si="45"/>
        <v>28317</v>
      </c>
      <c r="L726" s="1541">
        <f t="shared" si="46"/>
        <v>28317</v>
      </c>
      <c r="M726" s="1541">
        <f t="shared" si="47"/>
        <v>0</v>
      </c>
    </row>
    <row r="727" spans="1:13" x14ac:dyDescent="0.3">
      <c r="A727" s="1852" t="s">
        <v>3300</v>
      </c>
      <c r="B727" s="1462"/>
      <c r="C727" s="1456">
        <v>9418</v>
      </c>
      <c r="D727" s="1456">
        <v>9418</v>
      </c>
      <c r="E727" s="1462"/>
      <c r="J727" s="1541">
        <f t="shared" si="44"/>
        <v>0</v>
      </c>
      <c r="K727" s="1541">
        <f t="shared" si="45"/>
        <v>9418</v>
      </c>
      <c r="L727" s="1541">
        <f t="shared" si="46"/>
        <v>9418</v>
      </c>
      <c r="M727" s="1541">
        <f t="shared" si="47"/>
        <v>0</v>
      </c>
    </row>
    <row r="728" spans="1:13" x14ac:dyDescent="0.3">
      <c r="A728" s="1855" t="s">
        <v>3301</v>
      </c>
      <c r="B728" s="1462"/>
      <c r="C728" s="1456">
        <v>96000</v>
      </c>
      <c r="D728" s="1456">
        <v>96000</v>
      </c>
      <c r="E728" s="1462"/>
      <c r="J728" s="1541">
        <f t="shared" si="44"/>
        <v>0</v>
      </c>
      <c r="K728" s="1541">
        <f t="shared" si="45"/>
        <v>96000</v>
      </c>
      <c r="L728" s="1541">
        <f t="shared" si="46"/>
        <v>96000</v>
      </c>
      <c r="M728" s="1541">
        <f t="shared" si="47"/>
        <v>0</v>
      </c>
    </row>
    <row r="729" spans="1:13" x14ac:dyDescent="0.3">
      <c r="A729" s="1855" t="s">
        <v>3303</v>
      </c>
      <c r="B729" s="1462"/>
      <c r="C729" s="1456">
        <v>1748</v>
      </c>
      <c r="D729" s="1456">
        <v>1748</v>
      </c>
      <c r="E729" s="1462"/>
      <c r="J729" s="1541">
        <f t="shared" si="44"/>
        <v>0</v>
      </c>
      <c r="K729" s="1541">
        <f t="shared" si="45"/>
        <v>1748</v>
      </c>
      <c r="L729" s="1541">
        <f t="shared" si="46"/>
        <v>1748</v>
      </c>
      <c r="M729" s="1541">
        <f t="shared" si="47"/>
        <v>0</v>
      </c>
    </row>
    <row r="730" spans="1:13" x14ac:dyDescent="0.3">
      <c r="A730" s="1852" t="s">
        <v>3304</v>
      </c>
      <c r="B730" s="1462"/>
      <c r="C730" s="1456">
        <v>380</v>
      </c>
      <c r="D730" s="1456">
        <v>380</v>
      </c>
      <c r="E730" s="1462"/>
      <c r="J730" s="1541">
        <f t="shared" si="44"/>
        <v>0</v>
      </c>
      <c r="K730" s="1541">
        <f t="shared" si="45"/>
        <v>380</v>
      </c>
      <c r="L730" s="1541">
        <f t="shared" si="46"/>
        <v>380</v>
      </c>
      <c r="M730" s="1541">
        <f t="shared" si="47"/>
        <v>0</v>
      </c>
    </row>
    <row r="731" spans="1:13" x14ac:dyDescent="0.3">
      <c r="A731" s="1852" t="s">
        <v>3305</v>
      </c>
      <c r="B731" s="1462"/>
      <c r="C731" s="1456">
        <v>700</v>
      </c>
      <c r="D731" s="1456">
        <v>700</v>
      </c>
      <c r="E731" s="1462"/>
      <c r="J731" s="1541">
        <f t="shared" si="44"/>
        <v>0</v>
      </c>
      <c r="K731" s="1541">
        <f t="shared" si="45"/>
        <v>700</v>
      </c>
      <c r="L731" s="1541">
        <f t="shared" si="46"/>
        <v>700</v>
      </c>
      <c r="M731" s="1541">
        <f t="shared" si="47"/>
        <v>0</v>
      </c>
    </row>
    <row r="732" spans="1:13" x14ac:dyDescent="0.3">
      <c r="A732" s="1855" t="s">
        <v>3306</v>
      </c>
      <c r="B732" s="1462"/>
      <c r="C732" s="1456">
        <v>200</v>
      </c>
      <c r="D732" s="1456">
        <v>200</v>
      </c>
      <c r="E732" s="1462"/>
      <c r="J732" s="1541">
        <f t="shared" si="44"/>
        <v>0</v>
      </c>
      <c r="K732" s="1541">
        <f t="shared" si="45"/>
        <v>200</v>
      </c>
      <c r="L732" s="1541">
        <f t="shared" si="46"/>
        <v>200</v>
      </c>
      <c r="M732" s="1541">
        <f t="shared" si="47"/>
        <v>0</v>
      </c>
    </row>
    <row r="733" spans="1:13" x14ac:dyDescent="0.3">
      <c r="A733" s="1855" t="s">
        <v>3307</v>
      </c>
      <c r="B733" s="1462"/>
      <c r="C733" s="1456">
        <v>3344</v>
      </c>
      <c r="D733" s="1456">
        <v>3344</v>
      </c>
      <c r="E733" s="1462"/>
      <c r="J733" s="1541">
        <f t="shared" si="44"/>
        <v>0</v>
      </c>
      <c r="K733" s="1541">
        <f t="shared" si="45"/>
        <v>3344</v>
      </c>
      <c r="L733" s="1541">
        <f t="shared" si="46"/>
        <v>3344</v>
      </c>
      <c r="M733" s="1541">
        <f t="shared" si="47"/>
        <v>0</v>
      </c>
    </row>
    <row r="734" spans="1:13" x14ac:dyDescent="0.3">
      <c r="A734" s="1855" t="s">
        <v>3308</v>
      </c>
      <c r="B734" s="1462"/>
      <c r="C734" s="1456">
        <v>380</v>
      </c>
      <c r="D734" s="1456">
        <v>380</v>
      </c>
      <c r="E734" s="1462"/>
      <c r="J734" s="1541">
        <f t="shared" si="44"/>
        <v>0</v>
      </c>
      <c r="K734" s="1541">
        <f t="shared" si="45"/>
        <v>380</v>
      </c>
      <c r="L734" s="1541">
        <f t="shared" si="46"/>
        <v>380</v>
      </c>
      <c r="M734" s="1541">
        <f t="shared" si="47"/>
        <v>0</v>
      </c>
    </row>
    <row r="735" spans="1:13" x14ac:dyDescent="0.3">
      <c r="A735" s="1852" t="s">
        <v>3309</v>
      </c>
      <c r="B735" s="1462"/>
      <c r="C735" s="1456">
        <v>190</v>
      </c>
      <c r="D735" s="1456">
        <v>190</v>
      </c>
      <c r="E735" s="1462"/>
      <c r="J735" s="1541">
        <f t="shared" si="44"/>
        <v>0</v>
      </c>
      <c r="K735" s="1541">
        <f t="shared" si="45"/>
        <v>190</v>
      </c>
      <c r="L735" s="1541">
        <f t="shared" si="46"/>
        <v>190</v>
      </c>
      <c r="M735" s="1541">
        <f t="shared" si="47"/>
        <v>0</v>
      </c>
    </row>
    <row r="736" spans="1:13" x14ac:dyDescent="0.3">
      <c r="A736" s="1852" t="s">
        <v>3310</v>
      </c>
      <c r="B736" s="1462"/>
      <c r="C736" s="1456">
        <v>570</v>
      </c>
      <c r="D736" s="1456">
        <v>570</v>
      </c>
      <c r="E736" s="1462"/>
      <c r="J736" s="1541">
        <f t="shared" si="44"/>
        <v>0</v>
      </c>
      <c r="K736" s="1541">
        <f t="shared" si="45"/>
        <v>570</v>
      </c>
      <c r="L736" s="1541">
        <f t="shared" si="46"/>
        <v>570</v>
      </c>
      <c r="M736" s="1541">
        <f t="shared" si="47"/>
        <v>0</v>
      </c>
    </row>
    <row r="737" spans="1:13" x14ac:dyDescent="0.3">
      <c r="A737" s="1852" t="s">
        <v>3311</v>
      </c>
      <c r="B737" s="1462"/>
      <c r="C737" s="1456">
        <v>1002</v>
      </c>
      <c r="D737" s="1456">
        <v>1002</v>
      </c>
      <c r="E737" s="1462"/>
      <c r="J737" s="1541">
        <f t="shared" si="44"/>
        <v>0</v>
      </c>
      <c r="K737" s="1541">
        <f t="shared" si="45"/>
        <v>1002</v>
      </c>
      <c r="L737" s="1541">
        <f t="shared" si="46"/>
        <v>1002</v>
      </c>
      <c r="M737" s="1541">
        <f t="shared" si="47"/>
        <v>0</v>
      </c>
    </row>
    <row r="738" spans="1:13" x14ac:dyDescent="0.3">
      <c r="A738" s="1855" t="s">
        <v>3312</v>
      </c>
      <c r="B738" s="1462"/>
      <c r="C738" s="1456">
        <v>380</v>
      </c>
      <c r="D738" s="1456">
        <v>380</v>
      </c>
      <c r="E738" s="1462"/>
      <c r="J738" s="1541">
        <f t="shared" ref="J738:J801" si="48">B738+F738</f>
        <v>0</v>
      </c>
      <c r="K738" s="1541">
        <f t="shared" ref="K738:K801" si="49">C738+G738</f>
        <v>380</v>
      </c>
      <c r="L738" s="1541">
        <f t="shared" ref="L738:L801" si="50">D738+H738</f>
        <v>380</v>
      </c>
      <c r="M738" s="1541">
        <f t="shared" ref="M738:M801" si="51">E738+I738</f>
        <v>0</v>
      </c>
    </row>
    <row r="739" spans="1:13" x14ac:dyDescent="0.3">
      <c r="A739" s="1855" t="s">
        <v>3313</v>
      </c>
      <c r="B739" s="1462"/>
      <c r="C739" s="1456">
        <v>921</v>
      </c>
      <c r="D739" s="1456">
        <v>921</v>
      </c>
      <c r="E739" s="1462"/>
      <c r="J739" s="1541">
        <f t="shared" si="48"/>
        <v>0</v>
      </c>
      <c r="K739" s="1541">
        <f t="shared" si="49"/>
        <v>921</v>
      </c>
      <c r="L739" s="1541">
        <f t="shared" si="50"/>
        <v>921</v>
      </c>
      <c r="M739" s="1541">
        <f t="shared" si="51"/>
        <v>0</v>
      </c>
    </row>
    <row r="740" spans="1:13" x14ac:dyDescent="0.3">
      <c r="A740" s="1855" t="s">
        <v>3314</v>
      </c>
      <c r="B740" s="1462"/>
      <c r="C740" s="1456">
        <v>332</v>
      </c>
      <c r="D740" s="1456">
        <v>332</v>
      </c>
      <c r="E740" s="1462"/>
      <c r="J740" s="1541">
        <f t="shared" si="48"/>
        <v>0</v>
      </c>
      <c r="K740" s="1541">
        <f t="shared" si="49"/>
        <v>332</v>
      </c>
      <c r="L740" s="1541">
        <f t="shared" si="50"/>
        <v>332</v>
      </c>
      <c r="M740" s="1541">
        <f t="shared" si="51"/>
        <v>0</v>
      </c>
    </row>
    <row r="741" spans="1:13" x14ac:dyDescent="0.3">
      <c r="A741" s="1852" t="s">
        <v>3315</v>
      </c>
      <c r="B741" s="1462"/>
      <c r="C741" s="1456">
        <v>38640</v>
      </c>
      <c r="D741" s="1456">
        <v>38640</v>
      </c>
      <c r="E741" s="1462"/>
      <c r="J741" s="1541">
        <f t="shared" si="48"/>
        <v>0</v>
      </c>
      <c r="K741" s="1541">
        <f t="shared" si="49"/>
        <v>38640</v>
      </c>
      <c r="L741" s="1541">
        <f t="shared" si="50"/>
        <v>38640</v>
      </c>
      <c r="M741" s="1541">
        <f t="shared" si="51"/>
        <v>0</v>
      </c>
    </row>
    <row r="742" spans="1:13" x14ac:dyDescent="0.3">
      <c r="A742" s="1855" t="s">
        <v>3316</v>
      </c>
      <c r="B742" s="1462"/>
      <c r="C742" s="1456">
        <v>880</v>
      </c>
      <c r="D742" s="1456">
        <v>880</v>
      </c>
      <c r="E742" s="1462"/>
      <c r="J742" s="1541">
        <f t="shared" si="48"/>
        <v>0</v>
      </c>
      <c r="K742" s="1541">
        <f t="shared" si="49"/>
        <v>880</v>
      </c>
      <c r="L742" s="1541">
        <f t="shared" si="50"/>
        <v>880</v>
      </c>
      <c r="M742" s="1541">
        <f t="shared" si="51"/>
        <v>0</v>
      </c>
    </row>
    <row r="743" spans="1:13" x14ac:dyDescent="0.3">
      <c r="A743" s="1852" t="s">
        <v>3317</v>
      </c>
      <c r="B743" s="1462"/>
      <c r="C743" s="1456">
        <v>570</v>
      </c>
      <c r="D743" s="1456">
        <v>570</v>
      </c>
      <c r="E743" s="1462"/>
      <c r="J743" s="1541">
        <f t="shared" si="48"/>
        <v>0</v>
      </c>
      <c r="K743" s="1541">
        <f t="shared" si="49"/>
        <v>570</v>
      </c>
      <c r="L743" s="1541">
        <f t="shared" si="50"/>
        <v>570</v>
      </c>
      <c r="M743" s="1541">
        <f t="shared" si="51"/>
        <v>0</v>
      </c>
    </row>
    <row r="744" spans="1:13" x14ac:dyDescent="0.3">
      <c r="A744" s="1852" t="s">
        <v>3318</v>
      </c>
      <c r="B744" s="1462"/>
      <c r="C744" s="1456">
        <v>2282</v>
      </c>
      <c r="D744" s="1456">
        <v>2282</v>
      </c>
      <c r="E744" s="1462"/>
      <c r="J744" s="1541">
        <f t="shared" si="48"/>
        <v>0</v>
      </c>
      <c r="K744" s="1541">
        <f t="shared" si="49"/>
        <v>2282</v>
      </c>
      <c r="L744" s="1541">
        <f t="shared" si="50"/>
        <v>2282</v>
      </c>
      <c r="M744" s="1541">
        <f t="shared" si="51"/>
        <v>0</v>
      </c>
    </row>
    <row r="745" spans="1:13" x14ac:dyDescent="0.3">
      <c r="A745" s="1852" t="s">
        <v>3319</v>
      </c>
      <c r="B745" s="1462"/>
      <c r="C745" s="1456">
        <v>560</v>
      </c>
      <c r="D745" s="1456">
        <v>560</v>
      </c>
      <c r="E745" s="1462"/>
      <c r="J745" s="1541">
        <f t="shared" si="48"/>
        <v>0</v>
      </c>
      <c r="K745" s="1541">
        <f t="shared" si="49"/>
        <v>560</v>
      </c>
      <c r="L745" s="1541">
        <f t="shared" si="50"/>
        <v>560</v>
      </c>
      <c r="M745" s="1541">
        <f t="shared" si="51"/>
        <v>0</v>
      </c>
    </row>
    <row r="746" spans="1:13" x14ac:dyDescent="0.3">
      <c r="A746" s="1855" t="s">
        <v>3320</v>
      </c>
      <c r="B746" s="1462"/>
      <c r="C746" s="1456">
        <v>1120</v>
      </c>
      <c r="D746" s="1456">
        <v>1120</v>
      </c>
      <c r="E746" s="1462"/>
      <c r="J746" s="1541">
        <f t="shared" si="48"/>
        <v>0</v>
      </c>
      <c r="K746" s="1541">
        <f t="shared" si="49"/>
        <v>1120</v>
      </c>
      <c r="L746" s="1541">
        <f t="shared" si="50"/>
        <v>1120</v>
      </c>
      <c r="M746" s="1541">
        <f t="shared" si="51"/>
        <v>0</v>
      </c>
    </row>
    <row r="747" spans="1:13" x14ac:dyDescent="0.3">
      <c r="A747" s="1855" t="s">
        <v>3322</v>
      </c>
      <c r="B747" s="1462"/>
      <c r="C747" s="1456">
        <v>11317.17</v>
      </c>
      <c r="D747" s="1456">
        <v>11317.17</v>
      </c>
      <c r="E747" s="1462"/>
      <c r="J747" s="1541">
        <f t="shared" si="48"/>
        <v>0</v>
      </c>
      <c r="K747" s="1541">
        <f t="shared" si="49"/>
        <v>11317.17</v>
      </c>
      <c r="L747" s="1541">
        <f t="shared" si="50"/>
        <v>11317.17</v>
      </c>
      <c r="M747" s="1541">
        <f t="shared" si="51"/>
        <v>0</v>
      </c>
    </row>
    <row r="748" spans="1:13" x14ac:dyDescent="0.3">
      <c r="A748" s="1855" t="s">
        <v>3323</v>
      </c>
      <c r="B748" s="1462"/>
      <c r="C748" s="1456">
        <v>140</v>
      </c>
      <c r="D748" s="1456">
        <v>140</v>
      </c>
      <c r="E748" s="1462"/>
      <c r="J748" s="1541">
        <f t="shared" si="48"/>
        <v>0</v>
      </c>
      <c r="K748" s="1541">
        <f t="shared" si="49"/>
        <v>140</v>
      </c>
      <c r="L748" s="1541">
        <f t="shared" si="50"/>
        <v>140</v>
      </c>
      <c r="M748" s="1541">
        <f t="shared" si="51"/>
        <v>0</v>
      </c>
    </row>
    <row r="749" spans="1:13" x14ac:dyDescent="0.3">
      <c r="A749" s="1855" t="s">
        <v>3324</v>
      </c>
      <c r="B749" s="1462"/>
      <c r="C749" s="1456">
        <v>722</v>
      </c>
      <c r="D749" s="1456">
        <v>722</v>
      </c>
      <c r="E749" s="1462"/>
      <c r="J749" s="1541">
        <f t="shared" si="48"/>
        <v>0</v>
      </c>
      <c r="K749" s="1541">
        <f t="shared" si="49"/>
        <v>722</v>
      </c>
      <c r="L749" s="1541">
        <f t="shared" si="50"/>
        <v>722</v>
      </c>
      <c r="M749" s="1541">
        <f t="shared" si="51"/>
        <v>0</v>
      </c>
    </row>
    <row r="750" spans="1:13" x14ac:dyDescent="0.3">
      <c r="A750" s="1855" t="s">
        <v>3325</v>
      </c>
      <c r="B750" s="1462"/>
      <c r="C750" s="1456">
        <v>6350</v>
      </c>
      <c r="D750" s="1456">
        <v>6350</v>
      </c>
      <c r="E750" s="1462"/>
      <c r="J750" s="1541">
        <f t="shared" si="48"/>
        <v>0</v>
      </c>
      <c r="K750" s="1541">
        <f t="shared" si="49"/>
        <v>6350</v>
      </c>
      <c r="L750" s="1541">
        <f t="shared" si="50"/>
        <v>6350</v>
      </c>
      <c r="M750" s="1541">
        <f t="shared" si="51"/>
        <v>0</v>
      </c>
    </row>
    <row r="751" spans="1:13" x14ac:dyDescent="0.3">
      <c r="A751" s="1852" t="s">
        <v>3326</v>
      </c>
      <c r="B751" s="1462"/>
      <c r="C751" s="1456">
        <v>10488</v>
      </c>
      <c r="D751" s="1456">
        <v>10488</v>
      </c>
      <c r="E751" s="1462"/>
      <c r="J751" s="1541">
        <f t="shared" si="48"/>
        <v>0</v>
      </c>
      <c r="K751" s="1541">
        <f t="shared" si="49"/>
        <v>10488</v>
      </c>
      <c r="L751" s="1541">
        <f t="shared" si="50"/>
        <v>10488</v>
      </c>
      <c r="M751" s="1541">
        <f t="shared" si="51"/>
        <v>0</v>
      </c>
    </row>
    <row r="752" spans="1:13" x14ac:dyDescent="0.3">
      <c r="A752" s="1852" t="s">
        <v>3327</v>
      </c>
      <c r="B752" s="1462"/>
      <c r="C752" s="1456">
        <v>17630</v>
      </c>
      <c r="D752" s="1456">
        <v>17630</v>
      </c>
      <c r="E752" s="1462"/>
      <c r="J752" s="1541">
        <f t="shared" si="48"/>
        <v>0</v>
      </c>
      <c r="K752" s="1541">
        <f t="shared" si="49"/>
        <v>17630</v>
      </c>
      <c r="L752" s="1541">
        <f t="shared" si="50"/>
        <v>17630</v>
      </c>
      <c r="M752" s="1541">
        <f t="shared" si="51"/>
        <v>0</v>
      </c>
    </row>
    <row r="753" spans="1:13" x14ac:dyDescent="0.3">
      <c r="A753" s="1852" t="s">
        <v>3328</v>
      </c>
      <c r="B753" s="1462"/>
      <c r="C753" s="1456">
        <v>332</v>
      </c>
      <c r="D753" s="1456">
        <v>332</v>
      </c>
      <c r="E753" s="1462"/>
      <c r="J753" s="1541">
        <f t="shared" si="48"/>
        <v>0</v>
      </c>
      <c r="K753" s="1541">
        <f t="shared" si="49"/>
        <v>332</v>
      </c>
      <c r="L753" s="1541">
        <f t="shared" si="50"/>
        <v>332</v>
      </c>
      <c r="M753" s="1541">
        <f t="shared" si="51"/>
        <v>0</v>
      </c>
    </row>
    <row r="754" spans="1:13" x14ac:dyDescent="0.3">
      <c r="A754" s="1852" t="s">
        <v>3329</v>
      </c>
      <c r="B754" s="1462"/>
      <c r="C754" s="1456">
        <v>1900</v>
      </c>
      <c r="D754" s="1456">
        <v>1900</v>
      </c>
      <c r="E754" s="1462"/>
      <c r="J754" s="1541">
        <f t="shared" si="48"/>
        <v>0</v>
      </c>
      <c r="K754" s="1541">
        <f t="shared" si="49"/>
        <v>1900</v>
      </c>
      <c r="L754" s="1541">
        <f t="shared" si="50"/>
        <v>1900</v>
      </c>
      <c r="M754" s="1541">
        <f t="shared" si="51"/>
        <v>0</v>
      </c>
    </row>
    <row r="755" spans="1:13" x14ac:dyDescent="0.3">
      <c r="A755" s="1852" t="s">
        <v>3331</v>
      </c>
      <c r="B755" s="1462"/>
      <c r="C755" s="1456">
        <v>9595</v>
      </c>
      <c r="D755" s="1456">
        <v>9595</v>
      </c>
      <c r="E755" s="1462"/>
      <c r="J755" s="1541">
        <f t="shared" si="48"/>
        <v>0</v>
      </c>
      <c r="K755" s="1541">
        <f t="shared" si="49"/>
        <v>9595</v>
      </c>
      <c r="L755" s="1541">
        <f t="shared" si="50"/>
        <v>9595</v>
      </c>
      <c r="M755" s="1541">
        <f t="shared" si="51"/>
        <v>0</v>
      </c>
    </row>
    <row r="756" spans="1:13" x14ac:dyDescent="0.3">
      <c r="A756" s="1852" t="s">
        <v>3332</v>
      </c>
      <c r="B756" s="1462"/>
      <c r="C756" s="1456">
        <v>420</v>
      </c>
      <c r="D756" s="1456">
        <v>420</v>
      </c>
      <c r="E756" s="1462"/>
      <c r="J756" s="1541">
        <f t="shared" si="48"/>
        <v>0</v>
      </c>
      <c r="K756" s="1541">
        <f t="shared" si="49"/>
        <v>420</v>
      </c>
      <c r="L756" s="1541">
        <f t="shared" si="50"/>
        <v>420</v>
      </c>
      <c r="M756" s="1541">
        <f t="shared" si="51"/>
        <v>0</v>
      </c>
    </row>
    <row r="757" spans="1:13" x14ac:dyDescent="0.3">
      <c r="A757" s="1852" t="s">
        <v>3333</v>
      </c>
      <c r="B757" s="1462"/>
      <c r="C757" s="1456">
        <v>57810</v>
      </c>
      <c r="D757" s="1456">
        <v>57810</v>
      </c>
      <c r="E757" s="1462"/>
      <c r="J757" s="1541">
        <f t="shared" si="48"/>
        <v>0</v>
      </c>
      <c r="K757" s="1541">
        <f t="shared" si="49"/>
        <v>57810</v>
      </c>
      <c r="L757" s="1541">
        <f t="shared" si="50"/>
        <v>57810</v>
      </c>
      <c r="M757" s="1541">
        <f t="shared" si="51"/>
        <v>0</v>
      </c>
    </row>
    <row r="758" spans="1:13" x14ac:dyDescent="0.3">
      <c r="A758" s="1852" t="s">
        <v>3334</v>
      </c>
      <c r="B758" s="1462"/>
      <c r="C758" s="1456">
        <v>190</v>
      </c>
      <c r="D758" s="1456">
        <v>190</v>
      </c>
      <c r="E758" s="1462"/>
      <c r="J758" s="1541">
        <f t="shared" si="48"/>
        <v>0</v>
      </c>
      <c r="K758" s="1541">
        <f t="shared" si="49"/>
        <v>190</v>
      </c>
      <c r="L758" s="1541">
        <f t="shared" si="50"/>
        <v>190</v>
      </c>
      <c r="M758" s="1541">
        <f t="shared" si="51"/>
        <v>0</v>
      </c>
    </row>
    <row r="759" spans="1:13" x14ac:dyDescent="0.3">
      <c r="A759" s="1852" t="s">
        <v>3335</v>
      </c>
      <c r="B759" s="1462"/>
      <c r="C759" s="1456">
        <v>140</v>
      </c>
      <c r="D759" s="1456">
        <v>140</v>
      </c>
      <c r="E759" s="1462"/>
      <c r="J759" s="1541">
        <f t="shared" si="48"/>
        <v>0</v>
      </c>
      <c r="K759" s="1541">
        <f t="shared" si="49"/>
        <v>140</v>
      </c>
      <c r="L759" s="1541">
        <f t="shared" si="50"/>
        <v>140</v>
      </c>
      <c r="M759" s="1541">
        <f t="shared" si="51"/>
        <v>0</v>
      </c>
    </row>
    <row r="760" spans="1:13" x14ac:dyDescent="0.3">
      <c r="A760" s="1852" t="s">
        <v>3336</v>
      </c>
      <c r="B760" s="1462"/>
      <c r="C760" s="1456">
        <v>1940</v>
      </c>
      <c r="D760" s="1456">
        <v>1940</v>
      </c>
      <c r="E760" s="1462"/>
      <c r="J760" s="1541">
        <f t="shared" si="48"/>
        <v>0</v>
      </c>
      <c r="K760" s="1541">
        <f t="shared" si="49"/>
        <v>1940</v>
      </c>
      <c r="L760" s="1541">
        <f t="shared" si="50"/>
        <v>1940</v>
      </c>
      <c r="M760" s="1541">
        <f t="shared" si="51"/>
        <v>0</v>
      </c>
    </row>
    <row r="761" spans="1:13" x14ac:dyDescent="0.3">
      <c r="A761" s="1852" t="s">
        <v>3338</v>
      </c>
      <c r="B761" s="1462"/>
      <c r="C761" s="1456">
        <v>7878</v>
      </c>
      <c r="D761" s="1456">
        <v>7878</v>
      </c>
      <c r="E761" s="1462"/>
      <c r="J761" s="1541">
        <f t="shared" si="48"/>
        <v>0</v>
      </c>
      <c r="K761" s="1541">
        <f t="shared" si="49"/>
        <v>7878</v>
      </c>
      <c r="L761" s="1541">
        <f t="shared" si="50"/>
        <v>7878</v>
      </c>
      <c r="M761" s="1541">
        <f t="shared" si="51"/>
        <v>0</v>
      </c>
    </row>
    <row r="762" spans="1:13" x14ac:dyDescent="0.3">
      <c r="A762" s="1855" t="s">
        <v>3339</v>
      </c>
      <c r="B762" s="1462"/>
      <c r="C762" s="1456">
        <v>9296</v>
      </c>
      <c r="D762" s="1456">
        <v>9296</v>
      </c>
      <c r="E762" s="1462"/>
      <c r="J762" s="1541">
        <f t="shared" si="48"/>
        <v>0</v>
      </c>
      <c r="K762" s="1541">
        <f t="shared" si="49"/>
        <v>9296</v>
      </c>
      <c r="L762" s="1541">
        <f t="shared" si="50"/>
        <v>9296</v>
      </c>
      <c r="M762" s="1541">
        <f t="shared" si="51"/>
        <v>0</v>
      </c>
    </row>
    <row r="763" spans="1:13" x14ac:dyDescent="0.3">
      <c r="A763" s="1852" t="s">
        <v>3340</v>
      </c>
      <c r="B763" s="1462"/>
      <c r="C763" s="1456">
        <v>1370</v>
      </c>
      <c r="D763" s="1456">
        <v>1370</v>
      </c>
      <c r="E763" s="1462"/>
      <c r="J763" s="1541">
        <f t="shared" si="48"/>
        <v>0</v>
      </c>
      <c r="K763" s="1541">
        <f t="shared" si="49"/>
        <v>1370</v>
      </c>
      <c r="L763" s="1541">
        <f t="shared" si="50"/>
        <v>1370</v>
      </c>
      <c r="M763" s="1541">
        <f t="shared" si="51"/>
        <v>0</v>
      </c>
    </row>
    <row r="764" spans="1:13" x14ac:dyDescent="0.3">
      <c r="A764" s="1852" t="s">
        <v>3341</v>
      </c>
      <c r="B764" s="1462"/>
      <c r="C764" s="1456">
        <v>14511</v>
      </c>
      <c r="D764" s="1456">
        <v>14511</v>
      </c>
      <c r="E764" s="1462"/>
      <c r="J764" s="1541">
        <f t="shared" si="48"/>
        <v>0</v>
      </c>
      <c r="K764" s="1541">
        <f t="shared" si="49"/>
        <v>14511</v>
      </c>
      <c r="L764" s="1541">
        <f t="shared" si="50"/>
        <v>14511</v>
      </c>
      <c r="M764" s="1541">
        <f t="shared" si="51"/>
        <v>0</v>
      </c>
    </row>
    <row r="765" spans="1:13" x14ac:dyDescent="0.3">
      <c r="A765" s="1855" t="s">
        <v>3342</v>
      </c>
      <c r="B765" s="1462"/>
      <c r="C765" s="1456">
        <v>900</v>
      </c>
      <c r="D765" s="1456">
        <v>900</v>
      </c>
      <c r="E765" s="1462"/>
      <c r="J765" s="1541">
        <f t="shared" si="48"/>
        <v>0</v>
      </c>
      <c r="K765" s="1541">
        <f t="shared" si="49"/>
        <v>900</v>
      </c>
      <c r="L765" s="1541">
        <f t="shared" si="50"/>
        <v>900</v>
      </c>
      <c r="M765" s="1541">
        <f t="shared" si="51"/>
        <v>0</v>
      </c>
    </row>
    <row r="766" spans="1:13" x14ac:dyDescent="0.3">
      <c r="A766" s="1855" t="s">
        <v>3343</v>
      </c>
      <c r="B766" s="1462"/>
      <c r="C766" s="1456">
        <v>2998</v>
      </c>
      <c r="D766" s="1456">
        <v>2998</v>
      </c>
      <c r="E766" s="1462"/>
      <c r="J766" s="1541">
        <f t="shared" si="48"/>
        <v>0</v>
      </c>
      <c r="K766" s="1541">
        <f t="shared" si="49"/>
        <v>2998</v>
      </c>
      <c r="L766" s="1541">
        <f t="shared" si="50"/>
        <v>2998</v>
      </c>
      <c r="M766" s="1541">
        <f t="shared" si="51"/>
        <v>0</v>
      </c>
    </row>
    <row r="767" spans="1:13" x14ac:dyDescent="0.3">
      <c r="A767" s="1852" t="s">
        <v>3344</v>
      </c>
      <c r="B767" s="1462"/>
      <c r="C767" s="1456">
        <v>2302</v>
      </c>
      <c r="D767" s="1456">
        <v>2302</v>
      </c>
      <c r="E767" s="1462"/>
      <c r="J767" s="1541">
        <f t="shared" si="48"/>
        <v>0</v>
      </c>
      <c r="K767" s="1541">
        <f t="shared" si="49"/>
        <v>2302</v>
      </c>
      <c r="L767" s="1541">
        <f t="shared" si="50"/>
        <v>2302</v>
      </c>
      <c r="M767" s="1541">
        <f t="shared" si="51"/>
        <v>0</v>
      </c>
    </row>
    <row r="768" spans="1:13" x14ac:dyDescent="0.3">
      <c r="A768" s="1852" t="s">
        <v>3345</v>
      </c>
      <c r="B768" s="1462"/>
      <c r="C768" s="1456">
        <v>760</v>
      </c>
      <c r="D768" s="1456">
        <v>760</v>
      </c>
      <c r="E768" s="1462"/>
      <c r="J768" s="1541">
        <f t="shared" si="48"/>
        <v>0</v>
      </c>
      <c r="K768" s="1541">
        <f t="shared" si="49"/>
        <v>760</v>
      </c>
      <c r="L768" s="1541">
        <f t="shared" si="50"/>
        <v>760</v>
      </c>
      <c r="M768" s="1541">
        <f t="shared" si="51"/>
        <v>0</v>
      </c>
    </row>
    <row r="769" spans="1:13" x14ac:dyDescent="0.3">
      <c r="A769" s="1852" t="s">
        <v>3347</v>
      </c>
      <c r="B769" s="1462"/>
      <c r="C769" s="1456">
        <v>2978</v>
      </c>
      <c r="D769" s="1456">
        <v>2978</v>
      </c>
      <c r="E769" s="1462"/>
      <c r="J769" s="1541">
        <f t="shared" si="48"/>
        <v>0</v>
      </c>
      <c r="K769" s="1541">
        <f t="shared" si="49"/>
        <v>2978</v>
      </c>
      <c r="L769" s="1541">
        <f t="shared" si="50"/>
        <v>2978</v>
      </c>
      <c r="M769" s="1541">
        <f t="shared" si="51"/>
        <v>0</v>
      </c>
    </row>
    <row r="770" spans="1:13" x14ac:dyDescent="0.3">
      <c r="A770" s="1852" t="s">
        <v>3348</v>
      </c>
      <c r="B770" s="1462"/>
      <c r="C770" s="1456">
        <v>770</v>
      </c>
      <c r="D770" s="1456">
        <v>770</v>
      </c>
      <c r="E770" s="1462"/>
      <c r="J770" s="1541">
        <f t="shared" si="48"/>
        <v>0</v>
      </c>
      <c r="K770" s="1541">
        <f t="shared" si="49"/>
        <v>770</v>
      </c>
      <c r="L770" s="1541">
        <f t="shared" si="50"/>
        <v>770</v>
      </c>
      <c r="M770" s="1541">
        <f t="shared" si="51"/>
        <v>0</v>
      </c>
    </row>
    <row r="771" spans="1:13" x14ac:dyDescent="0.3">
      <c r="A771" s="1852" t="s">
        <v>3349</v>
      </c>
      <c r="B771" s="1462"/>
      <c r="C771" s="1456">
        <v>200</v>
      </c>
      <c r="D771" s="1456">
        <v>200</v>
      </c>
      <c r="E771" s="1462"/>
      <c r="J771" s="1541">
        <f t="shared" si="48"/>
        <v>0</v>
      </c>
      <c r="K771" s="1541">
        <f t="shared" si="49"/>
        <v>200</v>
      </c>
      <c r="L771" s="1541">
        <f t="shared" si="50"/>
        <v>200</v>
      </c>
      <c r="M771" s="1541">
        <f t="shared" si="51"/>
        <v>0</v>
      </c>
    </row>
    <row r="772" spans="1:13" x14ac:dyDescent="0.3">
      <c r="A772" s="1852" t="s">
        <v>3350</v>
      </c>
      <c r="B772" s="1462"/>
      <c r="C772" s="1456">
        <v>306</v>
      </c>
      <c r="D772" s="1456">
        <v>306</v>
      </c>
      <c r="E772" s="1462"/>
      <c r="J772" s="1541">
        <f t="shared" si="48"/>
        <v>0</v>
      </c>
      <c r="K772" s="1541">
        <f t="shared" si="49"/>
        <v>306</v>
      </c>
      <c r="L772" s="1541">
        <f t="shared" si="50"/>
        <v>306</v>
      </c>
      <c r="M772" s="1541">
        <f t="shared" si="51"/>
        <v>0</v>
      </c>
    </row>
    <row r="773" spans="1:13" x14ac:dyDescent="0.3">
      <c r="A773" s="1852" t="s">
        <v>3351</v>
      </c>
      <c r="B773" s="1462"/>
      <c r="C773" s="1456">
        <v>7830</v>
      </c>
      <c r="D773" s="1456">
        <v>7830</v>
      </c>
      <c r="E773" s="1462"/>
      <c r="J773" s="1541">
        <f t="shared" si="48"/>
        <v>0</v>
      </c>
      <c r="K773" s="1541">
        <f t="shared" si="49"/>
        <v>7830</v>
      </c>
      <c r="L773" s="1541">
        <f t="shared" si="50"/>
        <v>7830</v>
      </c>
      <c r="M773" s="1541">
        <f t="shared" si="51"/>
        <v>0</v>
      </c>
    </row>
    <row r="774" spans="1:13" x14ac:dyDescent="0.3">
      <c r="A774" s="1852" t="s">
        <v>3352</v>
      </c>
      <c r="B774" s="1462"/>
      <c r="C774" s="1456">
        <v>20206</v>
      </c>
      <c r="D774" s="1456">
        <v>20206</v>
      </c>
      <c r="E774" s="1462"/>
      <c r="J774" s="1541">
        <f t="shared" si="48"/>
        <v>0</v>
      </c>
      <c r="K774" s="1541">
        <f t="shared" si="49"/>
        <v>20206</v>
      </c>
      <c r="L774" s="1541">
        <f t="shared" si="50"/>
        <v>20206</v>
      </c>
      <c r="M774" s="1541">
        <f t="shared" si="51"/>
        <v>0</v>
      </c>
    </row>
    <row r="775" spans="1:13" x14ac:dyDescent="0.3">
      <c r="A775" s="1852" t="s">
        <v>3353</v>
      </c>
      <c r="B775" s="1462"/>
      <c r="C775" s="1456">
        <v>2050</v>
      </c>
      <c r="D775" s="1456">
        <v>2050</v>
      </c>
      <c r="E775" s="1462"/>
      <c r="J775" s="1541">
        <f t="shared" si="48"/>
        <v>0</v>
      </c>
      <c r="K775" s="1541">
        <f t="shared" si="49"/>
        <v>2050</v>
      </c>
      <c r="L775" s="1541">
        <f t="shared" si="50"/>
        <v>2050</v>
      </c>
      <c r="M775" s="1541">
        <f t="shared" si="51"/>
        <v>0</v>
      </c>
    </row>
    <row r="776" spans="1:13" x14ac:dyDescent="0.3">
      <c r="A776" s="1852" t="s">
        <v>3354</v>
      </c>
      <c r="B776" s="1462"/>
      <c r="C776" s="1456">
        <v>830</v>
      </c>
      <c r="D776" s="1456">
        <v>830</v>
      </c>
      <c r="E776" s="1462"/>
      <c r="J776" s="1541">
        <f t="shared" si="48"/>
        <v>0</v>
      </c>
      <c r="K776" s="1541">
        <f t="shared" si="49"/>
        <v>830</v>
      </c>
      <c r="L776" s="1541">
        <f t="shared" si="50"/>
        <v>830</v>
      </c>
      <c r="M776" s="1541">
        <f t="shared" si="51"/>
        <v>0</v>
      </c>
    </row>
    <row r="777" spans="1:13" x14ac:dyDescent="0.3">
      <c r="A777" s="1852" t="s">
        <v>3356</v>
      </c>
      <c r="B777" s="1462"/>
      <c r="C777" s="1456">
        <v>3135</v>
      </c>
      <c r="D777" s="1456">
        <v>3135</v>
      </c>
      <c r="E777" s="1462"/>
      <c r="J777" s="1541">
        <f t="shared" si="48"/>
        <v>0</v>
      </c>
      <c r="K777" s="1541">
        <f t="shared" si="49"/>
        <v>3135</v>
      </c>
      <c r="L777" s="1541">
        <f t="shared" si="50"/>
        <v>3135</v>
      </c>
      <c r="M777" s="1541">
        <f t="shared" si="51"/>
        <v>0</v>
      </c>
    </row>
    <row r="778" spans="1:13" x14ac:dyDescent="0.3">
      <c r="A778" s="1852" t="s">
        <v>3357</v>
      </c>
      <c r="B778" s="1462"/>
      <c r="C778" s="1456">
        <v>3122</v>
      </c>
      <c r="D778" s="1456">
        <v>3122</v>
      </c>
      <c r="E778" s="1462"/>
      <c r="J778" s="1541">
        <f t="shared" si="48"/>
        <v>0</v>
      </c>
      <c r="K778" s="1541">
        <f t="shared" si="49"/>
        <v>3122</v>
      </c>
      <c r="L778" s="1541">
        <f t="shared" si="50"/>
        <v>3122</v>
      </c>
      <c r="M778" s="1541">
        <f t="shared" si="51"/>
        <v>0</v>
      </c>
    </row>
    <row r="779" spans="1:13" x14ac:dyDescent="0.3">
      <c r="A779" s="1852" t="s">
        <v>3358</v>
      </c>
      <c r="B779" s="1462"/>
      <c r="C779" s="1456">
        <v>210</v>
      </c>
      <c r="D779" s="1456">
        <v>210</v>
      </c>
      <c r="E779" s="1462"/>
      <c r="J779" s="1541">
        <f t="shared" si="48"/>
        <v>0</v>
      </c>
      <c r="K779" s="1541">
        <f t="shared" si="49"/>
        <v>210</v>
      </c>
      <c r="L779" s="1541">
        <f t="shared" si="50"/>
        <v>210</v>
      </c>
      <c r="M779" s="1541">
        <f t="shared" si="51"/>
        <v>0</v>
      </c>
    </row>
    <row r="780" spans="1:13" x14ac:dyDescent="0.3">
      <c r="A780" s="1852" t="s">
        <v>3359</v>
      </c>
      <c r="B780" s="1462"/>
      <c r="C780" s="1456">
        <v>1250</v>
      </c>
      <c r="D780" s="1456">
        <v>1250</v>
      </c>
      <c r="E780" s="1462"/>
      <c r="J780" s="1541">
        <f t="shared" si="48"/>
        <v>0</v>
      </c>
      <c r="K780" s="1541">
        <f t="shared" si="49"/>
        <v>1250</v>
      </c>
      <c r="L780" s="1541">
        <f t="shared" si="50"/>
        <v>1250</v>
      </c>
      <c r="M780" s="1541">
        <f t="shared" si="51"/>
        <v>0</v>
      </c>
    </row>
    <row r="781" spans="1:13" x14ac:dyDescent="0.3">
      <c r="A781" s="1852" t="s">
        <v>3360</v>
      </c>
      <c r="B781" s="1462"/>
      <c r="C781" s="1456">
        <v>20946</v>
      </c>
      <c r="D781" s="1456">
        <v>20946</v>
      </c>
      <c r="E781" s="1462"/>
      <c r="J781" s="1541">
        <f t="shared" si="48"/>
        <v>0</v>
      </c>
      <c r="K781" s="1541">
        <f t="shared" si="49"/>
        <v>20946</v>
      </c>
      <c r="L781" s="1541">
        <f t="shared" si="50"/>
        <v>20946</v>
      </c>
      <c r="M781" s="1541">
        <f t="shared" si="51"/>
        <v>0</v>
      </c>
    </row>
    <row r="782" spans="1:13" x14ac:dyDescent="0.3">
      <c r="A782" s="1852" t="s">
        <v>3361</v>
      </c>
      <c r="B782" s="1462"/>
      <c r="C782" s="1456">
        <v>31267</v>
      </c>
      <c r="D782" s="1456">
        <v>31267</v>
      </c>
      <c r="E782" s="1462"/>
      <c r="J782" s="1541">
        <f t="shared" si="48"/>
        <v>0</v>
      </c>
      <c r="K782" s="1541">
        <f t="shared" si="49"/>
        <v>31267</v>
      </c>
      <c r="L782" s="1541">
        <f t="shared" si="50"/>
        <v>31267</v>
      </c>
      <c r="M782" s="1541">
        <f t="shared" si="51"/>
        <v>0</v>
      </c>
    </row>
    <row r="783" spans="1:13" x14ac:dyDescent="0.3">
      <c r="A783" s="1852" t="s">
        <v>3362</v>
      </c>
      <c r="B783" s="1462"/>
      <c r="C783" s="1456">
        <v>7874</v>
      </c>
      <c r="D783" s="1456">
        <v>7874</v>
      </c>
      <c r="E783" s="1462"/>
      <c r="J783" s="1541">
        <f t="shared" si="48"/>
        <v>0</v>
      </c>
      <c r="K783" s="1541">
        <f t="shared" si="49"/>
        <v>7874</v>
      </c>
      <c r="L783" s="1541">
        <f t="shared" si="50"/>
        <v>7874</v>
      </c>
      <c r="M783" s="1541">
        <f t="shared" si="51"/>
        <v>0</v>
      </c>
    </row>
    <row r="784" spans="1:13" x14ac:dyDescent="0.3">
      <c r="A784" s="1852" t="s">
        <v>3363</v>
      </c>
      <c r="B784" s="1462"/>
      <c r="C784" s="1456">
        <v>6304</v>
      </c>
      <c r="D784" s="1456">
        <v>6304</v>
      </c>
      <c r="E784" s="1462"/>
      <c r="J784" s="1541">
        <f t="shared" si="48"/>
        <v>0</v>
      </c>
      <c r="K784" s="1541">
        <f t="shared" si="49"/>
        <v>6304</v>
      </c>
      <c r="L784" s="1541">
        <f t="shared" si="50"/>
        <v>6304</v>
      </c>
      <c r="M784" s="1541">
        <f t="shared" si="51"/>
        <v>0</v>
      </c>
    </row>
    <row r="785" spans="1:13" x14ac:dyDescent="0.3">
      <c r="A785" s="1852" t="s">
        <v>3364</v>
      </c>
      <c r="B785" s="1462"/>
      <c r="C785" s="1456">
        <v>1654</v>
      </c>
      <c r="D785" s="1456">
        <v>1654</v>
      </c>
      <c r="E785" s="1462"/>
      <c r="J785" s="1541">
        <f t="shared" si="48"/>
        <v>0</v>
      </c>
      <c r="K785" s="1541">
        <f t="shared" si="49"/>
        <v>1654</v>
      </c>
      <c r="L785" s="1541">
        <f t="shared" si="50"/>
        <v>1654</v>
      </c>
      <c r="M785" s="1541">
        <f t="shared" si="51"/>
        <v>0</v>
      </c>
    </row>
    <row r="786" spans="1:13" x14ac:dyDescent="0.3">
      <c r="A786" s="1852" t="s">
        <v>3365</v>
      </c>
      <c r="B786" s="1462"/>
      <c r="C786" s="1456">
        <v>17313</v>
      </c>
      <c r="D786" s="1456">
        <v>17313</v>
      </c>
      <c r="E786" s="1462"/>
      <c r="J786" s="1541">
        <f t="shared" si="48"/>
        <v>0</v>
      </c>
      <c r="K786" s="1541">
        <f t="shared" si="49"/>
        <v>17313</v>
      </c>
      <c r="L786" s="1541">
        <f t="shared" si="50"/>
        <v>17313</v>
      </c>
      <c r="M786" s="1541">
        <f t="shared" si="51"/>
        <v>0</v>
      </c>
    </row>
    <row r="787" spans="1:13" x14ac:dyDescent="0.3">
      <c r="A787" s="1852" t="s">
        <v>3367</v>
      </c>
      <c r="B787" s="1462"/>
      <c r="C787" s="1456">
        <v>5224</v>
      </c>
      <c r="D787" s="1456">
        <v>5224</v>
      </c>
      <c r="E787" s="1462"/>
      <c r="J787" s="1541">
        <f t="shared" si="48"/>
        <v>0</v>
      </c>
      <c r="K787" s="1541">
        <f t="shared" si="49"/>
        <v>5224</v>
      </c>
      <c r="L787" s="1541">
        <f t="shared" si="50"/>
        <v>5224</v>
      </c>
      <c r="M787" s="1541">
        <f t="shared" si="51"/>
        <v>0</v>
      </c>
    </row>
    <row r="788" spans="1:13" x14ac:dyDescent="0.3">
      <c r="A788" s="1852" t="s">
        <v>3369</v>
      </c>
      <c r="B788" s="1462"/>
      <c r="C788" s="1456">
        <v>3034</v>
      </c>
      <c r="D788" s="1456">
        <v>3034</v>
      </c>
      <c r="E788" s="1462"/>
      <c r="J788" s="1541">
        <f t="shared" si="48"/>
        <v>0</v>
      </c>
      <c r="K788" s="1541">
        <f t="shared" si="49"/>
        <v>3034</v>
      </c>
      <c r="L788" s="1541">
        <f t="shared" si="50"/>
        <v>3034</v>
      </c>
      <c r="M788" s="1541">
        <f t="shared" si="51"/>
        <v>0</v>
      </c>
    </row>
    <row r="789" spans="1:13" x14ac:dyDescent="0.3">
      <c r="A789" s="1852" t="s">
        <v>3371</v>
      </c>
      <c r="B789" s="1462"/>
      <c r="C789" s="1456">
        <v>830</v>
      </c>
      <c r="D789" s="1456">
        <v>830</v>
      </c>
      <c r="E789" s="1462"/>
      <c r="J789" s="1541">
        <f t="shared" si="48"/>
        <v>0</v>
      </c>
      <c r="K789" s="1541">
        <f t="shared" si="49"/>
        <v>830</v>
      </c>
      <c r="L789" s="1541">
        <f t="shared" si="50"/>
        <v>830</v>
      </c>
      <c r="M789" s="1541">
        <f t="shared" si="51"/>
        <v>0</v>
      </c>
    </row>
    <row r="790" spans="1:13" x14ac:dyDescent="0.3">
      <c r="A790" s="1852" t="s">
        <v>3372</v>
      </c>
      <c r="B790" s="1462"/>
      <c r="C790" s="1456">
        <v>24349</v>
      </c>
      <c r="D790" s="1456">
        <v>24349</v>
      </c>
      <c r="E790" s="1462"/>
      <c r="J790" s="1541">
        <f t="shared" si="48"/>
        <v>0</v>
      </c>
      <c r="K790" s="1541">
        <f t="shared" si="49"/>
        <v>24349</v>
      </c>
      <c r="L790" s="1541">
        <f t="shared" si="50"/>
        <v>24349</v>
      </c>
      <c r="M790" s="1541">
        <f t="shared" si="51"/>
        <v>0</v>
      </c>
    </row>
    <row r="791" spans="1:13" x14ac:dyDescent="0.3">
      <c r="A791" s="1852" t="s">
        <v>3373</v>
      </c>
      <c r="B791" s="1462"/>
      <c r="C791" s="1456">
        <v>676</v>
      </c>
      <c r="D791" s="1456">
        <v>676</v>
      </c>
      <c r="E791" s="1462"/>
      <c r="J791" s="1541">
        <f t="shared" si="48"/>
        <v>0</v>
      </c>
      <c r="K791" s="1541">
        <f t="shared" si="49"/>
        <v>676</v>
      </c>
      <c r="L791" s="1541">
        <f t="shared" si="50"/>
        <v>676</v>
      </c>
      <c r="M791" s="1541">
        <f t="shared" si="51"/>
        <v>0</v>
      </c>
    </row>
    <row r="792" spans="1:13" x14ac:dyDescent="0.3">
      <c r="A792" s="1852" t="s">
        <v>3374</v>
      </c>
      <c r="B792" s="1462"/>
      <c r="C792" s="1456">
        <v>2452</v>
      </c>
      <c r="D792" s="1456">
        <v>2452</v>
      </c>
      <c r="E792" s="1462"/>
      <c r="J792" s="1541">
        <f t="shared" si="48"/>
        <v>0</v>
      </c>
      <c r="K792" s="1541">
        <f t="shared" si="49"/>
        <v>2452</v>
      </c>
      <c r="L792" s="1541">
        <f t="shared" si="50"/>
        <v>2452</v>
      </c>
      <c r="M792" s="1541">
        <f t="shared" si="51"/>
        <v>0</v>
      </c>
    </row>
    <row r="793" spans="1:13" x14ac:dyDescent="0.3">
      <c r="A793" s="1855" t="s">
        <v>3375</v>
      </c>
      <c r="B793" s="1462"/>
      <c r="C793" s="1456">
        <v>19200</v>
      </c>
      <c r="D793" s="1456">
        <v>19200</v>
      </c>
      <c r="E793" s="1462"/>
      <c r="J793" s="1541">
        <f t="shared" si="48"/>
        <v>0</v>
      </c>
      <c r="K793" s="1541">
        <f t="shared" si="49"/>
        <v>19200</v>
      </c>
      <c r="L793" s="1541">
        <f t="shared" si="50"/>
        <v>19200</v>
      </c>
      <c r="M793" s="1541">
        <f t="shared" si="51"/>
        <v>0</v>
      </c>
    </row>
    <row r="794" spans="1:13" x14ac:dyDescent="0.3">
      <c r="A794" s="1852" t="s">
        <v>3376</v>
      </c>
      <c r="B794" s="1462"/>
      <c r="C794" s="1456">
        <v>5820</v>
      </c>
      <c r="D794" s="1456">
        <v>5820</v>
      </c>
      <c r="E794" s="1462"/>
      <c r="J794" s="1541">
        <f t="shared" si="48"/>
        <v>0</v>
      </c>
      <c r="K794" s="1541">
        <f t="shared" si="49"/>
        <v>5820</v>
      </c>
      <c r="L794" s="1541">
        <f t="shared" si="50"/>
        <v>5820</v>
      </c>
      <c r="M794" s="1541">
        <f t="shared" si="51"/>
        <v>0</v>
      </c>
    </row>
    <row r="795" spans="1:13" x14ac:dyDescent="0.3">
      <c r="A795" s="1852" t="s">
        <v>3377</v>
      </c>
      <c r="B795" s="1462"/>
      <c r="C795" s="1456">
        <v>332</v>
      </c>
      <c r="D795" s="1456">
        <v>332</v>
      </c>
      <c r="E795" s="1462"/>
      <c r="J795" s="1541">
        <f t="shared" si="48"/>
        <v>0</v>
      </c>
      <c r="K795" s="1541">
        <f t="shared" si="49"/>
        <v>332</v>
      </c>
      <c r="L795" s="1541">
        <f t="shared" si="50"/>
        <v>332</v>
      </c>
      <c r="M795" s="1541">
        <f t="shared" si="51"/>
        <v>0</v>
      </c>
    </row>
    <row r="796" spans="1:13" x14ac:dyDescent="0.3">
      <c r="A796" s="1855" t="s">
        <v>3378</v>
      </c>
      <c r="B796" s="1462"/>
      <c r="C796" s="1456">
        <v>14680</v>
      </c>
      <c r="D796" s="1456">
        <v>14680</v>
      </c>
      <c r="E796" s="1462"/>
      <c r="J796" s="1541">
        <f t="shared" si="48"/>
        <v>0</v>
      </c>
      <c r="K796" s="1541">
        <f t="shared" si="49"/>
        <v>14680</v>
      </c>
      <c r="L796" s="1541">
        <f t="shared" si="50"/>
        <v>14680</v>
      </c>
      <c r="M796" s="1541">
        <f t="shared" si="51"/>
        <v>0</v>
      </c>
    </row>
    <row r="797" spans="1:13" x14ac:dyDescent="0.3">
      <c r="A797" s="1852" t="s">
        <v>3379</v>
      </c>
      <c r="B797" s="1462"/>
      <c r="C797" s="1456">
        <v>4440</v>
      </c>
      <c r="D797" s="1456">
        <v>4440</v>
      </c>
      <c r="E797" s="1462"/>
      <c r="J797" s="1541">
        <f t="shared" si="48"/>
        <v>0</v>
      </c>
      <c r="K797" s="1541">
        <f t="shared" si="49"/>
        <v>4440</v>
      </c>
      <c r="L797" s="1541">
        <f t="shared" si="50"/>
        <v>4440</v>
      </c>
      <c r="M797" s="1541">
        <f t="shared" si="51"/>
        <v>0</v>
      </c>
    </row>
    <row r="798" spans="1:13" x14ac:dyDescent="0.3">
      <c r="A798" s="1855" t="s">
        <v>3380</v>
      </c>
      <c r="B798" s="1462"/>
      <c r="C798" s="1456">
        <v>2868</v>
      </c>
      <c r="D798" s="1456">
        <v>2868</v>
      </c>
      <c r="E798" s="1462"/>
      <c r="J798" s="1541">
        <f t="shared" si="48"/>
        <v>0</v>
      </c>
      <c r="K798" s="1541">
        <f t="shared" si="49"/>
        <v>2868</v>
      </c>
      <c r="L798" s="1541">
        <f t="shared" si="50"/>
        <v>2868</v>
      </c>
      <c r="M798" s="1541">
        <f t="shared" si="51"/>
        <v>0</v>
      </c>
    </row>
    <row r="799" spans="1:13" x14ac:dyDescent="0.3">
      <c r="A799" s="1852" t="s">
        <v>3381</v>
      </c>
      <c r="B799" s="1462"/>
      <c r="C799" s="1456">
        <v>2822</v>
      </c>
      <c r="D799" s="1456">
        <v>2822</v>
      </c>
      <c r="E799" s="1462"/>
      <c r="J799" s="1541">
        <f t="shared" si="48"/>
        <v>0</v>
      </c>
      <c r="K799" s="1541">
        <f t="shared" si="49"/>
        <v>2822</v>
      </c>
      <c r="L799" s="1541">
        <f t="shared" si="50"/>
        <v>2822</v>
      </c>
      <c r="M799" s="1541">
        <f t="shared" si="51"/>
        <v>0</v>
      </c>
    </row>
    <row r="800" spans="1:13" x14ac:dyDescent="0.3">
      <c r="A800" s="1852" t="s">
        <v>3382</v>
      </c>
      <c r="B800" s="1462"/>
      <c r="C800" s="1456">
        <v>2752</v>
      </c>
      <c r="D800" s="1456">
        <v>2752</v>
      </c>
      <c r="E800" s="1462"/>
      <c r="J800" s="1541">
        <f t="shared" si="48"/>
        <v>0</v>
      </c>
      <c r="K800" s="1541">
        <f t="shared" si="49"/>
        <v>2752</v>
      </c>
      <c r="L800" s="1541">
        <f t="shared" si="50"/>
        <v>2752</v>
      </c>
      <c r="M800" s="1541">
        <f t="shared" si="51"/>
        <v>0</v>
      </c>
    </row>
    <row r="801" spans="1:13" x14ac:dyDescent="0.3">
      <c r="A801" s="1855" t="s">
        <v>3383</v>
      </c>
      <c r="B801" s="1462"/>
      <c r="C801" s="1456">
        <v>10080</v>
      </c>
      <c r="D801" s="1456">
        <v>10080</v>
      </c>
      <c r="E801" s="1462"/>
      <c r="J801" s="1541">
        <f t="shared" si="48"/>
        <v>0</v>
      </c>
      <c r="K801" s="1541">
        <f t="shared" si="49"/>
        <v>10080</v>
      </c>
      <c r="L801" s="1541">
        <f t="shared" si="50"/>
        <v>10080</v>
      </c>
      <c r="M801" s="1541">
        <f t="shared" si="51"/>
        <v>0</v>
      </c>
    </row>
    <row r="802" spans="1:13" x14ac:dyDescent="0.3">
      <c r="A802" s="1852" t="s">
        <v>3384</v>
      </c>
      <c r="B802" s="1462"/>
      <c r="C802" s="1456">
        <v>13878</v>
      </c>
      <c r="D802" s="1456">
        <v>13878</v>
      </c>
      <c r="E802" s="1462"/>
      <c r="J802" s="1541">
        <f t="shared" ref="J802:J865" si="52">B802+F802</f>
        <v>0</v>
      </c>
      <c r="K802" s="1541">
        <f t="shared" ref="K802:K865" si="53">C802+G802</f>
        <v>13878</v>
      </c>
      <c r="L802" s="1541">
        <f t="shared" ref="L802:L865" si="54">D802+H802</f>
        <v>13878</v>
      </c>
      <c r="M802" s="1541">
        <f t="shared" ref="M802:M865" si="55">E802+I802</f>
        <v>0</v>
      </c>
    </row>
    <row r="803" spans="1:13" x14ac:dyDescent="0.3">
      <c r="A803" s="1852" t="s">
        <v>3385</v>
      </c>
      <c r="B803" s="1462"/>
      <c r="C803" s="1456">
        <v>3520</v>
      </c>
      <c r="D803" s="1456">
        <v>3520</v>
      </c>
      <c r="E803" s="1462"/>
      <c r="J803" s="1541">
        <f t="shared" si="52"/>
        <v>0</v>
      </c>
      <c r="K803" s="1541">
        <f t="shared" si="53"/>
        <v>3520</v>
      </c>
      <c r="L803" s="1541">
        <f t="shared" si="54"/>
        <v>3520</v>
      </c>
      <c r="M803" s="1541">
        <f t="shared" si="55"/>
        <v>0</v>
      </c>
    </row>
    <row r="804" spans="1:13" x14ac:dyDescent="0.3">
      <c r="A804" s="1855" t="s">
        <v>3386</v>
      </c>
      <c r="B804" s="1462"/>
      <c r="C804" s="1456">
        <v>5201</v>
      </c>
      <c r="D804" s="1456">
        <v>5201</v>
      </c>
      <c r="E804" s="1462"/>
      <c r="J804" s="1541">
        <f t="shared" si="52"/>
        <v>0</v>
      </c>
      <c r="K804" s="1541">
        <f t="shared" si="53"/>
        <v>5201</v>
      </c>
      <c r="L804" s="1541">
        <f t="shared" si="54"/>
        <v>5201</v>
      </c>
      <c r="M804" s="1541">
        <f t="shared" si="55"/>
        <v>0</v>
      </c>
    </row>
    <row r="805" spans="1:13" x14ac:dyDescent="0.3">
      <c r="A805" s="1852" t="s">
        <v>3387</v>
      </c>
      <c r="B805" s="1462"/>
      <c r="C805" s="1456">
        <v>400</v>
      </c>
      <c r="D805" s="1456">
        <v>400</v>
      </c>
      <c r="E805" s="1462"/>
      <c r="J805" s="1541">
        <f t="shared" si="52"/>
        <v>0</v>
      </c>
      <c r="K805" s="1541">
        <f t="shared" si="53"/>
        <v>400</v>
      </c>
      <c r="L805" s="1541">
        <f t="shared" si="54"/>
        <v>400</v>
      </c>
      <c r="M805" s="1541">
        <f t="shared" si="55"/>
        <v>0</v>
      </c>
    </row>
    <row r="806" spans="1:13" x14ac:dyDescent="0.3">
      <c r="A806" s="1852" t="s">
        <v>3388</v>
      </c>
      <c r="B806" s="1462"/>
      <c r="C806" s="1456">
        <v>1210</v>
      </c>
      <c r="D806" s="1456">
        <v>1210</v>
      </c>
      <c r="E806" s="1462"/>
      <c r="J806" s="1541">
        <f t="shared" si="52"/>
        <v>0</v>
      </c>
      <c r="K806" s="1541">
        <f t="shared" si="53"/>
        <v>1210</v>
      </c>
      <c r="L806" s="1541">
        <f t="shared" si="54"/>
        <v>1210</v>
      </c>
      <c r="M806" s="1541">
        <f t="shared" si="55"/>
        <v>0</v>
      </c>
    </row>
    <row r="807" spans="1:13" x14ac:dyDescent="0.3">
      <c r="A807" s="1852" t="s">
        <v>3389</v>
      </c>
      <c r="B807" s="1462"/>
      <c r="C807" s="1456">
        <v>830</v>
      </c>
      <c r="D807" s="1456">
        <v>830</v>
      </c>
      <c r="E807" s="1462"/>
      <c r="J807" s="1541">
        <f t="shared" si="52"/>
        <v>0</v>
      </c>
      <c r="K807" s="1541">
        <f t="shared" si="53"/>
        <v>830</v>
      </c>
      <c r="L807" s="1541">
        <f t="shared" si="54"/>
        <v>830</v>
      </c>
      <c r="M807" s="1541">
        <f t="shared" si="55"/>
        <v>0</v>
      </c>
    </row>
    <row r="808" spans="1:13" x14ac:dyDescent="0.3">
      <c r="A808" s="1852" t="s">
        <v>3390</v>
      </c>
      <c r="B808" s="1462"/>
      <c r="C808" s="1456">
        <v>700</v>
      </c>
      <c r="D808" s="1456">
        <v>700</v>
      </c>
      <c r="E808" s="1462"/>
      <c r="J808" s="1541">
        <f t="shared" si="52"/>
        <v>0</v>
      </c>
      <c r="K808" s="1541">
        <f t="shared" si="53"/>
        <v>700</v>
      </c>
      <c r="L808" s="1541">
        <f t="shared" si="54"/>
        <v>700</v>
      </c>
      <c r="M808" s="1541">
        <f t="shared" si="55"/>
        <v>0</v>
      </c>
    </row>
    <row r="809" spans="1:13" x14ac:dyDescent="0.3">
      <c r="A809" s="1852" t="s">
        <v>3391</v>
      </c>
      <c r="B809" s="1462"/>
      <c r="C809" s="1456">
        <v>3216</v>
      </c>
      <c r="D809" s="1456">
        <v>3216</v>
      </c>
      <c r="E809" s="1462"/>
      <c r="J809" s="1541">
        <f t="shared" si="52"/>
        <v>0</v>
      </c>
      <c r="K809" s="1541">
        <f t="shared" si="53"/>
        <v>3216</v>
      </c>
      <c r="L809" s="1541">
        <f t="shared" si="54"/>
        <v>3216</v>
      </c>
      <c r="M809" s="1541">
        <f t="shared" si="55"/>
        <v>0</v>
      </c>
    </row>
    <row r="810" spans="1:13" x14ac:dyDescent="0.3">
      <c r="A810" s="1852" t="s">
        <v>3392</v>
      </c>
      <c r="B810" s="1462"/>
      <c r="C810" s="1456">
        <v>3998</v>
      </c>
      <c r="D810" s="1456">
        <v>3998</v>
      </c>
      <c r="E810" s="1462"/>
      <c r="J810" s="1541">
        <f t="shared" si="52"/>
        <v>0</v>
      </c>
      <c r="K810" s="1541">
        <f t="shared" si="53"/>
        <v>3998</v>
      </c>
      <c r="L810" s="1541">
        <f t="shared" si="54"/>
        <v>3998</v>
      </c>
      <c r="M810" s="1541">
        <f t="shared" si="55"/>
        <v>0</v>
      </c>
    </row>
    <row r="811" spans="1:13" x14ac:dyDescent="0.3">
      <c r="A811" s="1852" t="s">
        <v>3393</v>
      </c>
      <c r="B811" s="1462"/>
      <c r="C811" s="1456">
        <v>540</v>
      </c>
      <c r="D811" s="1456">
        <v>540</v>
      </c>
      <c r="E811" s="1462"/>
      <c r="J811" s="1541">
        <f t="shared" si="52"/>
        <v>0</v>
      </c>
      <c r="K811" s="1541">
        <f t="shared" si="53"/>
        <v>540</v>
      </c>
      <c r="L811" s="1541">
        <f t="shared" si="54"/>
        <v>540</v>
      </c>
      <c r="M811" s="1541">
        <f t="shared" si="55"/>
        <v>0</v>
      </c>
    </row>
    <row r="812" spans="1:13" x14ac:dyDescent="0.3">
      <c r="A812" s="1852" t="s">
        <v>3394</v>
      </c>
      <c r="B812" s="1462"/>
      <c r="C812" s="1456">
        <v>1203</v>
      </c>
      <c r="D812" s="1456">
        <v>1203</v>
      </c>
      <c r="E812" s="1462"/>
      <c r="J812" s="1541">
        <f t="shared" si="52"/>
        <v>0</v>
      </c>
      <c r="K812" s="1541">
        <f t="shared" si="53"/>
        <v>1203</v>
      </c>
      <c r="L812" s="1541">
        <f t="shared" si="54"/>
        <v>1203</v>
      </c>
      <c r="M812" s="1541">
        <f t="shared" si="55"/>
        <v>0</v>
      </c>
    </row>
    <row r="813" spans="1:13" x14ac:dyDescent="0.3">
      <c r="A813" s="1855" t="s">
        <v>3395</v>
      </c>
      <c r="B813" s="1462"/>
      <c r="C813" s="1456">
        <v>11367</v>
      </c>
      <c r="D813" s="1456">
        <v>11367</v>
      </c>
      <c r="E813" s="1462"/>
      <c r="J813" s="1541">
        <f t="shared" si="52"/>
        <v>0</v>
      </c>
      <c r="K813" s="1541">
        <f t="shared" si="53"/>
        <v>11367</v>
      </c>
      <c r="L813" s="1541">
        <f t="shared" si="54"/>
        <v>11367</v>
      </c>
      <c r="M813" s="1541">
        <f t="shared" si="55"/>
        <v>0</v>
      </c>
    </row>
    <row r="814" spans="1:13" x14ac:dyDescent="0.3">
      <c r="A814" s="1852" t="s">
        <v>3396</v>
      </c>
      <c r="B814" s="1462"/>
      <c r="C814" s="1456">
        <v>140</v>
      </c>
      <c r="D814" s="1456">
        <v>140</v>
      </c>
      <c r="E814" s="1462"/>
      <c r="J814" s="1541">
        <f t="shared" si="52"/>
        <v>0</v>
      </c>
      <c r="K814" s="1541">
        <f t="shared" si="53"/>
        <v>140</v>
      </c>
      <c r="L814" s="1541">
        <f t="shared" si="54"/>
        <v>140</v>
      </c>
      <c r="M814" s="1541">
        <f t="shared" si="55"/>
        <v>0</v>
      </c>
    </row>
    <row r="815" spans="1:13" x14ac:dyDescent="0.3">
      <c r="A815" s="1852" t="s">
        <v>3397</v>
      </c>
      <c r="B815" s="1462"/>
      <c r="C815" s="1456">
        <v>6556</v>
      </c>
      <c r="D815" s="1456">
        <v>6556</v>
      </c>
      <c r="E815" s="1462"/>
      <c r="J815" s="1541">
        <f t="shared" si="52"/>
        <v>0</v>
      </c>
      <c r="K815" s="1541">
        <f t="shared" si="53"/>
        <v>6556</v>
      </c>
      <c r="L815" s="1541">
        <f t="shared" si="54"/>
        <v>6556</v>
      </c>
      <c r="M815" s="1541">
        <f t="shared" si="55"/>
        <v>0</v>
      </c>
    </row>
    <row r="816" spans="1:13" x14ac:dyDescent="0.3">
      <c r="A816" s="1852" t="s">
        <v>3398</v>
      </c>
      <c r="B816" s="1462"/>
      <c r="C816" s="1456">
        <v>330</v>
      </c>
      <c r="D816" s="1456">
        <v>330</v>
      </c>
      <c r="E816" s="1462"/>
      <c r="J816" s="1541">
        <f t="shared" si="52"/>
        <v>0</v>
      </c>
      <c r="K816" s="1541">
        <f t="shared" si="53"/>
        <v>330</v>
      </c>
      <c r="L816" s="1541">
        <f t="shared" si="54"/>
        <v>330</v>
      </c>
      <c r="M816" s="1541">
        <f t="shared" si="55"/>
        <v>0</v>
      </c>
    </row>
    <row r="817" spans="1:13" x14ac:dyDescent="0.3">
      <c r="A817" s="1852" t="s">
        <v>3399</v>
      </c>
      <c r="B817" s="1462"/>
      <c r="C817" s="1456">
        <v>320</v>
      </c>
      <c r="D817" s="1456">
        <v>320</v>
      </c>
      <c r="E817" s="1462"/>
      <c r="J817" s="1541">
        <f t="shared" si="52"/>
        <v>0</v>
      </c>
      <c r="K817" s="1541">
        <f t="shared" si="53"/>
        <v>320</v>
      </c>
      <c r="L817" s="1541">
        <f t="shared" si="54"/>
        <v>320</v>
      </c>
      <c r="M817" s="1541">
        <f t="shared" si="55"/>
        <v>0</v>
      </c>
    </row>
    <row r="818" spans="1:13" x14ac:dyDescent="0.3">
      <c r="A818" s="1852" t="s">
        <v>3400</v>
      </c>
      <c r="B818" s="1462"/>
      <c r="C818" s="1456">
        <v>14680</v>
      </c>
      <c r="D818" s="1456">
        <v>14680</v>
      </c>
      <c r="E818" s="1462"/>
      <c r="J818" s="1541">
        <f t="shared" si="52"/>
        <v>0</v>
      </c>
      <c r="K818" s="1541">
        <f t="shared" si="53"/>
        <v>14680</v>
      </c>
      <c r="L818" s="1541">
        <f t="shared" si="54"/>
        <v>14680</v>
      </c>
      <c r="M818" s="1541">
        <f t="shared" si="55"/>
        <v>0</v>
      </c>
    </row>
    <row r="819" spans="1:13" x14ac:dyDescent="0.3">
      <c r="A819" s="1852" t="s">
        <v>3401</v>
      </c>
      <c r="B819" s="1462"/>
      <c r="C819" s="1456">
        <v>380</v>
      </c>
      <c r="D819" s="1456">
        <v>380</v>
      </c>
      <c r="E819" s="1462"/>
      <c r="J819" s="1541">
        <f t="shared" si="52"/>
        <v>0</v>
      </c>
      <c r="K819" s="1541">
        <f t="shared" si="53"/>
        <v>380</v>
      </c>
      <c r="L819" s="1541">
        <f t="shared" si="54"/>
        <v>380</v>
      </c>
      <c r="M819" s="1541">
        <f t="shared" si="55"/>
        <v>0</v>
      </c>
    </row>
    <row r="820" spans="1:13" x14ac:dyDescent="0.3">
      <c r="A820" s="1855" t="s">
        <v>3402</v>
      </c>
      <c r="B820" s="1462"/>
      <c r="C820" s="1456">
        <v>622</v>
      </c>
      <c r="D820" s="1456">
        <v>622</v>
      </c>
      <c r="E820" s="1462"/>
      <c r="J820" s="1541">
        <f t="shared" si="52"/>
        <v>0</v>
      </c>
      <c r="K820" s="1541">
        <f t="shared" si="53"/>
        <v>622</v>
      </c>
      <c r="L820" s="1541">
        <f t="shared" si="54"/>
        <v>622</v>
      </c>
      <c r="M820" s="1541">
        <f t="shared" si="55"/>
        <v>0</v>
      </c>
    </row>
    <row r="821" spans="1:13" x14ac:dyDescent="0.3">
      <c r="A821" s="1852" t="s">
        <v>3403</v>
      </c>
      <c r="B821" s="1462"/>
      <c r="C821" s="1456">
        <v>506</v>
      </c>
      <c r="D821" s="1456">
        <v>506</v>
      </c>
      <c r="E821" s="1462"/>
      <c r="J821" s="1541">
        <f t="shared" si="52"/>
        <v>0</v>
      </c>
      <c r="K821" s="1541">
        <f t="shared" si="53"/>
        <v>506</v>
      </c>
      <c r="L821" s="1541">
        <f t="shared" si="54"/>
        <v>506</v>
      </c>
      <c r="M821" s="1541">
        <f t="shared" si="55"/>
        <v>0</v>
      </c>
    </row>
    <row r="822" spans="1:13" x14ac:dyDescent="0.3">
      <c r="A822" s="1855" t="s">
        <v>3404</v>
      </c>
      <c r="B822" s="1462"/>
      <c r="C822" s="1456">
        <v>12700</v>
      </c>
      <c r="D822" s="1456">
        <v>12700</v>
      </c>
      <c r="E822" s="1462"/>
      <c r="J822" s="1541">
        <f t="shared" si="52"/>
        <v>0</v>
      </c>
      <c r="K822" s="1541">
        <f t="shared" si="53"/>
        <v>12700</v>
      </c>
      <c r="L822" s="1541">
        <f t="shared" si="54"/>
        <v>12700</v>
      </c>
      <c r="M822" s="1541">
        <f t="shared" si="55"/>
        <v>0</v>
      </c>
    </row>
    <row r="823" spans="1:13" x14ac:dyDescent="0.3">
      <c r="A823" s="1852" t="s">
        <v>3405</v>
      </c>
      <c r="B823" s="1462"/>
      <c r="C823" s="1456">
        <v>886</v>
      </c>
      <c r="D823" s="1456">
        <v>886</v>
      </c>
      <c r="E823" s="1462"/>
      <c r="J823" s="1541">
        <f t="shared" si="52"/>
        <v>0</v>
      </c>
      <c r="K823" s="1541">
        <f t="shared" si="53"/>
        <v>886</v>
      </c>
      <c r="L823" s="1541">
        <f t="shared" si="54"/>
        <v>886</v>
      </c>
      <c r="M823" s="1541">
        <f t="shared" si="55"/>
        <v>0</v>
      </c>
    </row>
    <row r="824" spans="1:13" x14ac:dyDescent="0.3">
      <c r="A824" s="1855" t="s">
        <v>3406</v>
      </c>
      <c r="B824" s="1462"/>
      <c r="C824" s="1456">
        <v>200</v>
      </c>
      <c r="D824" s="1456">
        <v>200</v>
      </c>
      <c r="E824" s="1462"/>
      <c r="J824" s="1541">
        <f t="shared" si="52"/>
        <v>0</v>
      </c>
      <c r="K824" s="1541">
        <f t="shared" si="53"/>
        <v>200</v>
      </c>
      <c r="L824" s="1541">
        <f t="shared" si="54"/>
        <v>200</v>
      </c>
      <c r="M824" s="1541">
        <f t="shared" si="55"/>
        <v>0</v>
      </c>
    </row>
    <row r="825" spans="1:13" x14ac:dyDescent="0.3">
      <c r="A825" s="1852" t="s">
        <v>3407</v>
      </c>
      <c r="B825" s="1462"/>
      <c r="C825" s="1456">
        <v>636</v>
      </c>
      <c r="D825" s="1456">
        <v>636</v>
      </c>
      <c r="E825" s="1462"/>
      <c r="J825" s="1541">
        <f t="shared" si="52"/>
        <v>0</v>
      </c>
      <c r="K825" s="1541">
        <f t="shared" si="53"/>
        <v>636</v>
      </c>
      <c r="L825" s="1541">
        <f t="shared" si="54"/>
        <v>636</v>
      </c>
      <c r="M825" s="1541">
        <f t="shared" si="55"/>
        <v>0</v>
      </c>
    </row>
    <row r="826" spans="1:13" x14ac:dyDescent="0.3">
      <c r="A826" s="1852" t="s">
        <v>3408</v>
      </c>
      <c r="B826" s="1462"/>
      <c r="C826" s="1456">
        <v>280</v>
      </c>
      <c r="D826" s="1456">
        <v>280</v>
      </c>
      <c r="E826" s="1462"/>
      <c r="J826" s="1541">
        <f t="shared" si="52"/>
        <v>0</v>
      </c>
      <c r="K826" s="1541">
        <f t="shared" si="53"/>
        <v>280</v>
      </c>
      <c r="L826" s="1541">
        <f t="shared" si="54"/>
        <v>280</v>
      </c>
      <c r="M826" s="1541">
        <f t="shared" si="55"/>
        <v>0</v>
      </c>
    </row>
    <row r="827" spans="1:13" x14ac:dyDescent="0.3">
      <c r="A827" s="1852" t="s">
        <v>3410</v>
      </c>
      <c r="B827" s="1462"/>
      <c r="C827" s="1456">
        <v>18000</v>
      </c>
      <c r="D827" s="1456">
        <v>18000</v>
      </c>
      <c r="E827" s="1462"/>
      <c r="J827" s="1541">
        <f t="shared" si="52"/>
        <v>0</v>
      </c>
      <c r="K827" s="1541">
        <f t="shared" si="53"/>
        <v>18000</v>
      </c>
      <c r="L827" s="1541">
        <f t="shared" si="54"/>
        <v>18000</v>
      </c>
      <c r="M827" s="1541">
        <f t="shared" si="55"/>
        <v>0</v>
      </c>
    </row>
    <row r="828" spans="1:13" x14ac:dyDescent="0.3">
      <c r="A828" s="1852" t="s">
        <v>3411</v>
      </c>
      <c r="B828" s="1462"/>
      <c r="C828" s="1456">
        <v>190</v>
      </c>
      <c r="D828" s="1456">
        <v>190</v>
      </c>
      <c r="E828" s="1462"/>
      <c r="J828" s="1541">
        <f t="shared" si="52"/>
        <v>0</v>
      </c>
      <c r="K828" s="1541">
        <f t="shared" si="53"/>
        <v>190</v>
      </c>
      <c r="L828" s="1541">
        <f t="shared" si="54"/>
        <v>190</v>
      </c>
      <c r="M828" s="1541">
        <f t="shared" si="55"/>
        <v>0</v>
      </c>
    </row>
    <row r="829" spans="1:13" x14ac:dyDescent="0.3">
      <c r="A829" s="1852" t="s">
        <v>3413</v>
      </c>
      <c r="B829" s="1462"/>
      <c r="C829" s="1456">
        <v>50480</v>
      </c>
      <c r="D829" s="1456">
        <v>50480</v>
      </c>
      <c r="E829" s="1462"/>
      <c r="J829" s="1541">
        <f t="shared" si="52"/>
        <v>0</v>
      </c>
      <c r="K829" s="1541">
        <f t="shared" si="53"/>
        <v>50480</v>
      </c>
      <c r="L829" s="1541">
        <f t="shared" si="54"/>
        <v>50480</v>
      </c>
      <c r="M829" s="1541">
        <f t="shared" si="55"/>
        <v>0</v>
      </c>
    </row>
    <row r="830" spans="1:13" x14ac:dyDescent="0.3">
      <c r="A830" s="1855" t="s">
        <v>3414</v>
      </c>
      <c r="B830" s="1462"/>
      <c r="C830" s="1456">
        <v>420</v>
      </c>
      <c r="D830" s="1456">
        <v>420</v>
      </c>
      <c r="E830" s="1462"/>
      <c r="J830" s="1541">
        <f t="shared" si="52"/>
        <v>0</v>
      </c>
      <c r="K830" s="1541">
        <f t="shared" si="53"/>
        <v>420</v>
      </c>
      <c r="L830" s="1541">
        <f t="shared" si="54"/>
        <v>420</v>
      </c>
      <c r="M830" s="1541">
        <f t="shared" si="55"/>
        <v>0</v>
      </c>
    </row>
    <row r="831" spans="1:13" x14ac:dyDescent="0.3">
      <c r="A831" s="1855" t="s">
        <v>3417</v>
      </c>
      <c r="B831" s="1462"/>
      <c r="C831" s="1456">
        <v>190</v>
      </c>
      <c r="D831" s="1456">
        <v>190</v>
      </c>
      <c r="E831" s="1462"/>
      <c r="J831" s="1541">
        <f t="shared" si="52"/>
        <v>0</v>
      </c>
      <c r="K831" s="1541">
        <f t="shared" si="53"/>
        <v>190</v>
      </c>
      <c r="L831" s="1541">
        <f t="shared" si="54"/>
        <v>190</v>
      </c>
      <c r="M831" s="1541">
        <f t="shared" si="55"/>
        <v>0</v>
      </c>
    </row>
    <row r="832" spans="1:13" x14ac:dyDescent="0.3">
      <c r="A832" s="1852" t="s">
        <v>3418</v>
      </c>
      <c r="B832" s="1462"/>
      <c r="C832" s="1456">
        <v>477</v>
      </c>
      <c r="D832" s="1456">
        <v>477</v>
      </c>
      <c r="E832" s="1462"/>
      <c r="J832" s="1541">
        <f t="shared" si="52"/>
        <v>0</v>
      </c>
      <c r="K832" s="1541">
        <f t="shared" si="53"/>
        <v>477</v>
      </c>
      <c r="L832" s="1541">
        <f t="shared" si="54"/>
        <v>477</v>
      </c>
      <c r="M832" s="1541">
        <f t="shared" si="55"/>
        <v>0</v>
      </c>
    </row>
    <row r="833" spans="1:13" x14ac:dyDescent="0.3">
      <c r="A833" s="1852" t="s">
        <v>3419</v>
      </c>
      <c r="B833" s="1462"/>
      <c r="C833" s="1456">
        <v>446</v>
      </c>
      <c r="D833" s="1456">
        <v>446</v>
      </c>
      <c r="E833" s="1462"/>
      <c r="J833" s="1541">
        <f t="shared" si="52"/>
        <v>0</v>
      </c>
      <c r="K833" s="1541">
        <f t="shared" si="53"/>
        <v>446</v>
      </c>
      <c r="L833" s="1541">
        <f t="shared" si="54"/>
        <v>446</v>
      </c>
      <c r="M833" s="1541">
        <f t="shared" si="55"/>
        <v>0</v>
      </c>
    </row>
    <row r="834" spans="1:13" x14ac:dyDescent="0.3">
      <c r="A834" s="1855" t="s">
        <v>3420</v>
      </c>
      <c r="B834" s="1462"/>
      <c r="C834" s="1456">
        <v>2080</v>
      </c>
      <c r="D834" s="1456">
        <v>2080</v>
      </c>
      <c r="E834" s="1462"/>
      <c r="J834" s="1541">
        <f t="shared" si="52"/>
        <v>0</v>
      </c>
      <c r="K834" s="1541">
        <f t="shared" si="53"/>
        <v>2080</v>
      </c>
      <c r="L834" s="1541">
        <f t="shared" si="54"/>
        <v>2080</v>
      </c>
      <c r="M834" s="1541">
        <f t="shared" si="55"/>
        <v>0</v>
      </c>
    </row>
    <row r="835" spans="1:13" x14ac:dyDescent="0.3">
      <c r="A835" s="1852" t="s">
        <v>3421</v>
      </c>
      <c r="B835" s="1462"/>
      <c r="C835" s="1456">
        <v>612</v>
      </c>
      <c r="D835" s="1456">
        <v>612</v>
      </c>
      <c r="E835" s="1462"/>
      <c r="J835" s="1541">
        <f t="shared" si="52"/>
        <v>0</v>
      </c>
      <c r="K835" s="1541">
        <f t="shared" si="53"/>
        <v>612</v>
      </c>
      <c r="L835" s="1541">
        <f t="shared" si="54"/>
        <v>612</v>
      </c>
      <c r="M835" s="1541">
        <f t="shared" si="55"/>
        <v>0</v>
      </c>
    </row>
    <row r="836" spans="1:13" x14ac:dyDescent="0.3">
      <c r="A836" s="1855" t="s">
        <v>3422</v>
      </c>
      <c r="B836" s="1462"/>
      <c r="C836" s="1456">
        <v>471</v>
      </c>
      <c r="D836" s="1456">
        <v>471</v>
      </c>
      <c r="E836" s="1462"/>
      <c r="J836" s="1541">
        <f t="shared" si="52"/>
        <v>0</v>
      </c>
      <c r="K836" s="1541">
        <f t="shared" si="53"/>
        <v>471</v>
      </c>
      <c r="L836" s="1541">
        <f t="shared" si="54"/>
        <v>471</v>
      </c>
      <c r="M836" s="1541">
        <f t="shared" si="55"/>
        <v>0</v>
      </c>
    </row>
    <row r="837" spans="1:13" x14ac:dyDescent="0.3">
      <c r="A837" s="1855" t="s">
        <v>3423</v>
      </c>
      <c r="B837" s="1462"/>
      <c r="C837" s="1456">
        <v>5200</v>
      </c>
      <c r="D837" s="1456">
        <v>5200</v>
      </c>
      <c r="E837" s="1462"/>
      <c r="J837" s="1541">
        <f t="shared" si="52"/>
        <v>0</v>
      </c>
      <c r="K837" s="1541">
        <f t="shared" si="53"/>
        <v>5200</v>
      </c>
      <c r="L837" s="1541">
        <f t="shared" si="54"/>
        <v>5200</v>
      </c>
      <c r="M837" s="1541">
        <f t="shared" si="55"/>
        <v>0</v>
      </c>
    </row>
    <row r="838" spans="1:13" x14ac:dyDescent="0.3">
      <c r="A838" s="1855" t="s">
        <v>3424</v>
      </c>
      <c r="B838" s="1462"/>
      <c r="C838" s="1456">
        <v>12887</v>
      </c>
      <c r="D838" s="1456">
        <v>12887</v>
      </c>
      <c r="E838" s="1462"/>
      <c r="J838" s="1541">
        <f t="shared" si="52"/>
        <v>0</v>
      </c>
      <c r="K838" s="1541">
        <f t="shared" si="53"/>
        <v>12887</v>
      </c>
      <c r="L838" s="1541">
        <f t="shared" si="54"/>
        <v>12887</v>
      </c>
      <c r="M838" s="1541">
        <f t="shared" si="55"/>
        <v>0</v>
      </c>
    </row>
    <row r="839" spans="1:13" x14ac:dyDescent="0.3">
      <c r="A839" s="1855" t="s">
        <v>3425</v>
      </c>
      <c r="B839" s="1462"/>
      <c r="C839" s="1456">
        <v>662</v>
      </c>
      <c r="D839" s="1456">
        <v>662</v>
      </c>
      <c r="E839" s="1462"/>
      <c r="J839" s="1541">
        <f t="shared" si="52"/>
        <v>0</v>
      </c>
      <c r="K839" s="1541">
        <f t="shared" si="53"/>
        <v>662</v>
      </c>
      <c r="L839" s="1541">
        <f t="shared" si="54"/>
        <v>662</v>
      </c>
      <c r="M839" s="1541">
        <f t="shared" si="55"/>
        <v>0</v>
      </c>
    </row>
    <row r="840" spans="1:13" x14ac:dyDescent="0.3">
      <c r="A840" s="1855" t="s">
        <v>3426</v>
      </c>
      <c r="B840" s="1462"/>
      <c r="C840" s="1456">
        <v>1526</v>
      </c>
      <c r="D840" s="1456">
        <v>1526</v>
      </c>
      <c r="E840" s="1462"/>
      <c r="J840" s="1541">
        <f t="shared" si="52"/>
        <v>0</v>
      </c>
      <c r="K840" s="1541">
        <f t="shared" si="53"/>
        <v>1526</v>
      </c>
      <c r="L840" s="1541">
        <f t="shared" si="54"/>
        <v>1526</v>
      </c>
      <c r="M840" s="1541">
        <f t="shared" si="55"/>
        <v>0</v>
      </c>
    </row>
    <row r="841" spans="1:13" x14ac:dyDescent="0.3">
      <c r="A841" s="1855" t="s">
        <v>3427</v>
      </c>
      <c r="B841" s="1462"/>
      <c r="C841" s="1456">
        <v>8978</v>
      </c>
      <c r="D841" s="1456">
        <v>8978</v>
      </c>
      <c r="E841" s="1462"/>
      <c r="J841" s="1541">
        <f t="shared" si="52"/>
        <v>0</v>
      </c>
      <c r="K841" s="1541">
        <f t="shared" si="53"/>
        <v>8978</v>
      </c>
      <c r="L841" s="1541">
        <f t="shared" si="54"/>
        <v>8978</v>
      </c>
      <c r="M841" s="1541">
        <f t="shared" si="55"/>
        <v>0</v>
      </c>
    </row>
    <row r="842" spans="1:13" x14ac:dyDescent="0.3">
      <c r="A842" s="1855" t="s">
        <v>3428</v>
      </c>
      <c r="B842" s="1462"/>
      <c r="C842" s="1456">
        <v>520</v>
      </c>
      <c r="D842" s="1456">
        <v>520</v>
      </c>
      <c r="E842" s="1462"/>
      <c r="J842" s="1541">
        <f t="shared" si="52"/>
        <v>0</v>
      </c>
      <c r="K842" s="1541">
        <f t="shared" si="53"/>
        <v>520</v>
      </c>
      <c r="L842" s="1541">
        <f t="shared" si="54"/>
        <v>520</v>
      </c>
      <c r="M842" s="1541">
        <f t="shared" si="55"/>
        <v>0</v>
      </c>
    </row>
    <row r="843" spans="1:13" x14ac:dyDescent="0.3">
      <c r="A843" s="1855" t="s">
        <v>3429</v>
      </c>
      <c r="B843" s="1462"/>
      <c r="C843" s="1456">
        <v>44270</v>
      </c>
      <c r="D843" s="1456">
        <v>44270</v>
      </c>
      <c r="E843" s="1462"/>
      <c r="J843" s="1541">
        <f t="shared" si="52"/>
        <v>0</v>
      </c>
      <c r="K843" s="1541">
        <f t="shared" si="53"/>
        <v>44270</v>
      </c>
      <c r="L843" s="1541">
        <f t="shared" si="54"/>
        <v>44270</v>
      </c>
      <c r="M843" s="1541">
        <f t="shared" si="55"/>
        <v>0</v>
      </c>
    </row>
    <row r="844" spans="1:13" x14ac:dyDescent="0.3">
      <c r="A844" s="1852" t="s">
        <v>3430</v>
      </c>
      <c r="B844" s="1462"/>
      <c r="C844" s="1456">
        <v>9134</v>
      </c>
      <c r="D844" s="1456">
        <v>9134</v>
      </c>
      <c r="E844" s="1462"/>
      <c r="J844" s="1541">
        <f t="shared" si="52"/>
        <v>0</v>
      </c>
      <c r="K844" s="1541">
        <f t="shared" si="53"/>
        <v>9134</v>
      </c>
      <c r="L844" s="1541">
        <f t="shared" si="54"/>
        <v>9134</v>
      </c>
      <c r="M844" s="1541">
        <f t="shared" si="55"/>
        <v>0</v>
      </c>
    </row>
    <row r="845" spans="1:13" x14ac:dyDescent="0.3">
      <c r="A845" s="1852" t="s">
        <v>3431</v>
      </c>
      <c r="B845" s="1462"/>
      <c r="C845" s="1456">
        <v>4240</v>
      </c>
      <c r="D845" s="1456">
        <v>4240</v>
      </c>
      <c r="E845" s="1462"/>
      <c r="J845" s="1541">
        <f t="shared" si="52"/>
        <v>0</v>
      </c>
      <c r="K845" s="1541">
        <f t="shared" si="53"/>
        <v>4240</v>
      </c>
      <c r="L845" s="1541">
        <f t="shared" si="54"/>
        <v>4240</v>
      </c>
      <c r="M845" s="1541">
        <f t="shared" si="55"/>
        <v>0</v>
      </c>
    </row>
    <row r="846" spans="1:13" x14ac:dyDescent="0.3">
      <c r="A846" s="1855" t="s">
        <v>3432</v>
      </c>
      <c r="B846" s="1462"/>
      <c r="C846" s="1456">
        <v>980</v>
      </c>
      <c r="D846" s="1456">
        <v>980</v>
      </c>
      <c r="E846" s="1462"/>
      <c r="J846" s="1541">
        <f t="shared" si="52"/>
        <v>0</v>
      </c>
      <c r="K846" s="1541">
        <f t="shared" si="53"/>
        <v>980</v>
      </c>
      <c r="L846" s="1541">
        <f t="shared" si="54"/>
        <v>980</v>
      </c>
      <c r="M846" s="1541">
        <f t="shared" si="55"/>
        <v>0</v>
      </c>
    </row>
    <row r="847" spans="1:13" x14ac:dyDescent="0.3">
      <c r="A847" s="1855" t="s">
        <v>3433</v>
      </c>
      <c r="B847" s="1462"/>
      <c r="C847" s="1456">
        <v>2228</v>
      </c>
      <c r="D847" s="1456">
        <v>2228</v>
      </c>
      <c r="E847" s="1462"/>
      <c r="J847" s="1541">
        <f t="shared" si="52"/>
        <v>0</v>
      </c>
      <c r="K847" s="1541">
        <f t="shared" si="53"/>
        <v>2228</v>
      </c>
      <c r="L847" s="1541">
        <f t="shared" si="54"/>
        <v>2228</v>
      </c>
      <c r="M847" s="1541">
        <f t="shared" si="55"/>
        <v>0</v>
      </c>
    </row>
    <row r="848" spans="1:13" x14ac:dyDescent="0.3">
      <c r="A848" s="1852" t="s">
        <v>3434</v>
      </c>
      <c r="B848" s="1462"/>
      <c r="C848" s="1456">
        <v>280</v>
      </c>
      <c r="D848" s="1456">
        <v>280</v>
      </c>
      <c r="E848" s="1462"/>
      <c r="J848" s="1541">
        <f t="shared" si="52"/>
        <v>0</v>
      </c>
      <c r="K848" s="1541">
        <f t="shared" si="53"/>
        <v>280</v>
      </c>
      <c r="L848" s="1541">
        <f t="shared" si="54"/>
        <v>280</v>
      </c>
      <c r="M848" s="1541">
        <f t="shared" si="55"/>
        <v>0</v>
      </c>
    </row>
    <row r="849" spans="1:13" x14ac:dyDescent="0.3">
      <c r="A849" s="1852" t="s">
        <v>3435</v>
      </c>
      <c r="B849" s="1462"/>
      <c r="C849" s="1456">
        <v>3126</v>
      </c>
      <c r="D849" s="1456">
        <v>3126</v>
      </c>
      <c r="E849" s="1462"/>
      <c r="J849" s="1541">
        <f t="shared" si="52"/>
        <v>0</v>
      </c>
      <c r="K849" s="1541">
        <f t="shared" si="53"/>
        <v>3126</v>
      </c>
      <c r="L849" s="1541">
        <f t="shared" si="54"/>
        <v>3126</v>
      </c>
      <c r="M849" s="1541">
        <f t="shared" si="55"/>
        <v>0</v>
      </c>
    </row>
    <row r="850" spans="1:13" x14ac:dyDescent="0.3">
      <c r="A850" s="1852" t="s">
        <v>3436</v>
      </c>
      <c r="B850" s="1462"/>
      <c r="C850" s="1456">
        <v>892</v>
      </c>
      <c r="D850" s="1456">
        <v>892</v>
      </c>
      <c r="E850" s="1462"/>
      <c r="J850" s="1541">
        <f t="shared" si="52"/>
        <v>0</v>
      </c>
      <c r="K850" s="1541">
        <f t="shared" si="53"/>
        <v>892</v>
      </c>
      <c r="L850" s="1541">
        <f t="shared" si="54"/>
        <v>892</v>
      </c>
      <c r="M850" s="1541">
        <f t="shared" si="55"/>
        <v>0</v>
      </c>
    </row>
    <row r="851" spans="1:13" x14ac:dyDescent="0.3">
      <c r="A851" s="1852" t="s">
        <v>3438</v>
      </c>
      <c r="B851" s="1462"/>
      <c r="C851" s="1456">
        <v>480</v>
      </c>
      <c r="D851" s="1456">
        <v>480</v>
      </c>
      <c r="E851" s="1462"/>
      <c r="J851" s="1541">
        <f t="shared" si="52"/>
        <v>0</v>
      </c>
      <c r="K851" s="1541">
        <f t="shared" si="53"/>
        <v>480</v>
      </c>
      <c r="L851" s="1541">
        <f t="shared" si="54"/>
        <v>480</v>
      </c>
      <c r="M851" s="1541">
        <f t="shared" si="55"/>
        <v>0</v>
      </c>
    </row>
    <row r="852" spans="1:13" x14ac:dyDescent="0.3">
      <c r="A852" s="1852" t="s">
        <v>3439</v>
      </c>
      <c r="B852" s="1462"/>
      <c r="C852" s="1456">
        <v>7470</v>
      </c>
      <c r="D852" s="1456">
        <v>7470</v>
      </c>
      <c r="E852" s="1462"/>
      <c r="J852" s="1541">
        <f t="shared" si="52"/>
        <v>0</v>
      </c>
      <c r="K852" s="1541">
        <f t="shared" si="53"/>
        <v>7470</v>
      </c>
      <c r="L852" s="1541">
        <f t="shared" si="54"/>
        <v>7470</v>
      </c>
      <c r="M852" s="1541">
        <f t="shared" si="55"/>
        <v>0</v>
      </c>
    </row>
    <row r="853" spans="1:13" x14ac:dyDescent="0.3">
      <c r="A853" s="1852" t="s">
        <v>3441</v>
      </c>
      <c r="B853" s="1462"/>
      <c r="C853" s="1456">
        <v>200</v>
      </c>
      <c r="D853" s="1456">
        <v>200</v>
      </c>
      <c r="E853" s="1462"/>
      <c r="J853" s="1541">
        <f t="shared" si="52"/>
        <v>0</v>
      </c>
      <c r="K853" s="1541">
        <f t="shared" si="53"/>
        <v>200</v>
      </c>
      <c r="L853" s="1541">
        <f t="shared" si="54"/>
        <v>200</v>
      </c>
      <c r="M853" s="1541">
        <f t="shared" si="55"/>
        <v>0</v>
      </c>
    </row>
    <row r="854" spans="1:13" x14ac:dyDescent="0.3">
      <c r="A854" s="1855" t="s">
        <v>3442</v>
      </c>
      <c r="B854" s="1462"/>
      <c r="C854" s="1456">
        <v>10820</v>
      </c>
      <c r="D854" s="1456">
        <v>10820</v>
      </c>
      <c r="E854" s="1462"/>
      <c r="J854" s="1541">
        <f t="shared" si="52"/>
        <v>0</v>
      </c>
      <c r="K854" s="1541">
        <f t="shared" si="53"/>
        <v>10820</v>
      </c>
      <c r="L854" s="1541">
        <f t="shared" si="54"/>
        <v>10820</v>
      </c>
      <c r="M854" s="1541">
        <f t="shared" si="55"/>
        <v>0</v>
      </c>
    </row>
    <row r="855" spans="1:13" x14ac:dyDescent="0.3">
      <c r="A855" s="1852" t="s">
        <v>3443</v>
      </c>
      <c r="B855" s="1462"/>
      <c r="C855" s="1456">
        <v>470</v>
      </c>
      <c r="D855" s="1456">
        <v>470</v>
      </c>
      <c r="E855" s="1462"/>
      <c r="J855" s="1541">
        <f t="shared" si="52"/>
        <v>0</v>
      </c>
      <c r="K855" s="1541">
        <f t="shared" si="53"/>
        <v>470</v>
      </c>
      <c r="L855" s="1541">
        <f t="shared" si="54"/>
        <v>470</v>
      </c>
      <c r="M855" s="1541">
        <f t="shared" si="55"/>
        <v>0</v>
      </c>
    </row>
    <row r="856" spans="1:13" x14ac:dyDescent="0.3">
      <c r="A856" s="1852" t="s">
        <v>3444</v>
      </c>
      <c r="B856" s="1462"/>
      <c r="C856" s="1456">
        <v>290</v>
      </c>
      <c r="D856" s="1456">
        <v>290</v>
      </c>
      <c r="E856" s="1462"/>
      <c r="J856" s="1541">
        <f t="shared" si="52"/>
        <v>0</v>
      </c>
      <c r="K856" s="1541">
        <f t="shared" si="53"/>
        <v>290</v>
      </c>
      <c r="L856" s="1541">
        <f t="shared" si="54"/>
        <v>290</v>
      </c>
      <c r="M856" s="1541">
        <f t="shared" si="55"/>
        <v>0</v>
      </c>
    </row>
    <row r="857" spans="1:13" x14ac:dyDescent="0.3">
      <c r="A857" s="1852" t="s">
        <v>3445</v>
      </c>
      <c r="B857" s="1462"/>
      <c r="C857" s="1456">
        <v>12700</v>
      </c>
      <c r="D857" s="1456">
        <v>12700</v>
      </c>
      <c r="E857" s="1462"/>
      <c r="J857" s="1541">
        <f t="shared" si="52"/>
        <v>0</v>
      </c>
      <c r="K857" s="1541">
        <f t="shared" si="53"/>
        <v>12700</v>
      </c>
      <c r="L857" s="1541">
        <f t="shared" si="54"/>
        <v>12700</v>
      </c>
      <c r="M857" s="1541">
        <f t="shared" si="55"/>
        <v>0</v>
      </c>
    </row>
    <row r="858" spans="1:13" x14ac:dyDescent="0.3">
      <c r="A858" s="1852" t="s">
        <v>3446</v>
      </c>
      <c r="B858" s="1462"/>
      <c r="C858" s="1456">
        <v>1040</v>
      </c>
      <c r="D858" s="1456">
        <v>1040</v>
      </c>
      <c r="E858" s="1462"/>
      <c r="J858" s="1541">
        <f t="shared" si="52"/>
        <v>0</v>
      </c>
      <c r="K858" s="1541">
        <f t="shared" si="53"/>
        <v>1040</v>
      </c>
      <c r="L858" s="1541">
        <f t="shared" si="54"/>
        <v>1040</v>
      </c>
      <c r="M858" s="1541">
        <f t="shared" si="55"/>
        <v>0</v>
      </c>
    </row>
    <row r="859" spans="1:13" x14ac:dyDescent="0.3">
      <c r="A859" s="1855" t="s">
        <v>3447</v>
      </c>
      <c r="B859" s="1462"/>
      <c r="C859" s="1456">
        <v>1800</v>
      </c>
      <c r="D859" s="1456">
        <v>1800</v>
      </c>
      <c r="E859" s="1462"/>
      <c r="J859" s="1541">
        <f t="shared" si="52"/>
        <v>0</v>
      </c>
      <c r="K859" s="1541">
        <f t="shared" si="53"/>
        <v>1800</v>
      </c>
      <c r="L859" s="1541">
        <f t="shared" si="54"/>
        <v>1800</v>
      </c>
      <c r="M859" s="1541">
        <f t="shared" si="55"/>
        <v>0</v>
      </c>
    </row>
    <row r="860" spans="1:13" x14ac:dyDescent="0.3">
      <c r="A860" s="1855" t="s">
        <v>3448</v>
      </c>
      <c r="B860" s="1462"/>
      <c r="C860" s="1456">
        <v>1592</v>
      </c>
      <c r="D860" s="1456">
        <v>1592</v>
      </c>
      <c r="E860" s="1462"/>
      <c r="J860" s="1541">
        <f t="shared" si="52"/>
        <v>0</v>
      </c>
      <c r="K860" s="1541">
        <f t="shared" si="53"/>
        <v>1592</v>
      </c>
      <c r="L860" s="1541">
        <f t="shared" si="54"/>
        <v>1592</v>
      </c>
      <c r="M860" s="1541">
        <f t="shared" si="55"/>
        <v>0</v>
      </c>
    </row>
    <row r="861" spans="1:13" x14ac:dyDescent="0.3">
      <c r="A861" s="1852" t="s">
        <v>3449</v>
      </c>
      <c r="B861" s="1462"/>
      <c r="C861" s="1456">
        <v>46225</v>
      </c>
      <c r="D861" s="1456">
        <v>46225</v>
      </c>
      <c r="E861" s="1462"/>
      <c r="J861" s="1541">
        <f t="shared" si="52"/>
        <v>0</v>
      </c>
      <c r="K861" s="1541">
        <f t="shared" si="53"/>
        <v>46225</v>
      </c>
      <c r="L861" s="1541">
        <f t="shared" si="54"/>
        <v>46225</v>
      </c>
      <c r="M861" s="1541">
        <f t="shared" si="55"/>
        <v>0</v>
      </c>
    </row>
    <row r="862" spans="1:13" x14ac:dyDescent="0.3">
      <c r="A862" s="1852" t="s">
        <v>3450</v>
      </c>
      <c r="B862" s="1462"/>
      <c r="C862" s="1456">
        <v>540</v>
      </c>
      <c r="D862" s="1456">
        <v>540</v>
      </c>
      <c r="E862" s="1462"/>
      <c r="J862" s="1541">
        <f t="shared" si="52"/>
        <v>0</v>
      </c>
      <c r="K862" s="1541">
        <f t="shared" si="53"/>
        <v>540</v>
      </c>
      <c r="L862" s="1541">
        <f t="shared" si="54"/>
        <v>540</v>
      </c>
      <c r="M862" s="1541">
        <f t="shared" si="55"/>
        <v>0</v>
      </c>
    </row>
    <row r="863" spans="1:13" x14ac:dyDescent="0.3">
      <c r="A863" s="1852" t="s">
        <v>3451</v>
      </c>
      <c r="B863" s="1462"/>
      <c r="C863" s="1456">
        <v>9500</v>
      </c>
      <c r="D863" s="1456">
        <v>9500</v>
      </c>
      <c r="E863" s="1462"/>
      <c r="J863" s="1541">
        <f t="shared" si="52"/>
        <v>0</v>
      </c>
      <c r="K863" s="1541">
        <f t="shared" si="53"/>
        <v>9500</v>
      </c>
      <c r="L863" s="1541">
        <f t="shared" si="54"/>
        <v>9500</v>
      </c>
      <c r="M863" s="1541">
        <f t="shared" si="55"/>
        <v>0</v>
      </c>
    </row>
    <row r="864" spans="1:13" x14ac:dyDescent="0.3">
      <c r="A864" s="1852" t="s">
        <v>3453</v>
      </c>
      <c r="B864" s="1462"/>
      <c r="C864" s="1456">
        <v>340</v>
      </c>
      <c r="D864" s="1456">
        <v>340</v>
      </c>
      <c r="E864" s="1462"/>
      <c r="J864" s="1541">
        <f t="shared" si="52"/>
        <v>0</v>
      </c>
      <c r="K864" s="1541">
        <f t="shared" si="53"/>
        <v>340</v>
      </c>
      <c r="L864" s="1541">
        <f t="shared" si="54"/>
        <v>340</v>
      </c>
      <c r="M864" s="1541">
        <f t="shared" si="55"/>
        <v>0</v>
      </c>
    </row>
    <row r="865" spans="1:13" x14ac:dyDescent="0.3">
      <c r="A865" s="1852" t="s">
        <v>3454</v>
      </c>
      <c r="B865" s="1462"/>
      <c r="C865" s="1456">
        <v>1530</v>
      </c>
      <c r="D865" s="1456">
        <v>1530</v>
      </c>
      <c r="E865" s="1462"/>
      <c r="J865" s="1541">
        <f t="shared" si="52"/>
        <v>0</v>
      </c>
      <c r="K865" s="1541">
        <f t="shared" si="53"/>
        <v>1530</v>
      </c>
      <c r="L865" s="1541">
        <f t="shared" si="54"/>
        <v>1530</v>
      </c>
      <c r="M865" s="1541">
        <f t="shared" si="55"/>
        <v>0</v>
      </c>
    </row>
    <row r="866" spans="1:13" x14ac:dyDescent="0.3">
      <c r="A866" s="1852" t="s">
        <v>3455</v>
      </c>
      <c r="B866" s="1462"/>
      <c r="C866" s="1456">
        <v>19900</v>
      </c>
      <c r="D866" s="1456">
        <v>19900</v>
      </c>
      <c r="E866" s="1462"/>
      <c r="J866" s="1541">
        <f t="shared" ref="J866:J929" si="56">B866+F866</f>
        <v>0</v>
      </c>
      <c r="K866" s="1541">
        <f t="shared" ref="K866:K929" si="57">C866+G866</f>
        <v>19900</v>
      </c>
      <c r="L866" s="1541">
        <f t="shared" ref="L866:L929" si="58">D866+H866</f>
        <v>19900</v>
      </c>
      <c r="M866" s="1541">
        <f t="shared" ref="M866:M929" si="59">E866+I866</f>
        <v>0</v>
      </c>
    </row>
    <row r="867" spans="1:13" x14ac:dyDescent="0.3">
      <c r="A867" s="1852" t="s">
        <v>3456</v>
      </c>
      <c r="B867" s="1462"/>
      <c r="C867" s="1456">
        <v>1684</v>
      </c>
      <c r="D867" s="1456">
        <v>1684</v>
      </c>
      <c r="E867" s="1462"/>
      <c r="J867" s="1541">
        <f t="shared" si="56"/>
        <v>0</v>
      </c>
      <c r="K867" s="1541">
        <f t="shared" si="57"/>
        <v>1684</v>
      </c>
      <c r="L867" s="1541">
        <f t="shared" si="58"/>
        <v>1684</v>
      </c>
      <c r="M867" s="1541">
        <f t="shared" si="59"/>
        <v>0</v>
      </c>
    </row>
    <row r="868" spans="1:13" x14ac:dyDescent="0.3">
      <c r="A868" s="1852" t="s">
        <v>3457</v>
      </c>
      <c r="B868" s="1462"/>
      <c r="C868" s="1456">
        <v>6830</v>
      </c>
      <c r="D868" s="1456">
        <v>6830</v>
      </c>
      <c r="E868" s="1462"/>
      <c r="J868" s="1541">
        <f t="shared" si="56"/>
        <v>0</v>
      </c>
      <c r="K868" s="1541">
        <f t="shared" si="57"/>
        <v>6830</v>
      </c>
      <c r="L868" s="1541">
        <f t="shared" si="58"/>
        <v>6830</v>
      </c>
      <c r="M868" s="1541">
        <f t="shared" si="59"/>
        <v>0</v>
      </c>
    </row>
    <row r="869" spans="1:13" x14ac:dyDescent="0.3">
      <c r="A869" s="1852" t="s">
        <v>3458</v>
      </c>
      <c r="B869" s="1462"/>
      <c r="C869" s="1456">
        <v>251803</v>
      </c>
      <c r="D869" s="1456">
        <v>251803</v>
      </c>
      <c r="E869" s="1462"/>
      <c r="J869" s="1541">
        <f t="shared" si="56"/>
        <v>0</v>
      </c>
      <c r="K869" s="1541">
        <f t="shared" si="57"/>
        <v>251803</v>
      </c>
      <c r="L869" s="1541">
        <f t="shared" si="58"/>
        <v>251803</v>
      </c>
      <c r="M869" s="1541">
        <f t="shared" si="59"/>
        <v>0</v>
      </c>
    </row>
    <row r="870" spans="1:13" x14ac:dyDescent="0.3">
      <c r="A870" s="1852" t="s">
        <v>3459</v>
      </c>
      <c r="B870" s="1462"/>
      <c r="C870" s="1456">
        <v>200</v>
      </c>
      <c r="D870" s="1456">
        <v>200</v>
      </c>
      <c r="E870" s="1462"/>
      <c r="J870" s="1541">
        <f t="shared" si="56"/>
        <v>0</v>
      </c>
      <c r="K870" s="1541">
        <f t="shared" si="57"/>
        <v>200</v>
      </c>
      <c r="L870" s="1541">
        <f t="shared" si="58"/>
        <v>200</v>
      </c>
      <c r="M870" s="1541">
        <f t="shared" si="59"/>
        <v>0</v>
      </c>
    </row>
    <row r="871" spans="1:13" x14ac:dyDescent="0.3">
      <c r="A871" s="1852" t="s">
        <v>2540</v>
      </c>
      <c r="B871" s="1462"/>
      <c r="C871" s="1456">
        <v>920.01</v>
      </c>
      <c r="D871" s="1456">
        <v>920</v>
      </c>
      <c r="E871" s="1896">
        <v>0.01</v>
      </c>
      <c r="J871" s="1541">
        <f t="shared" si="56"/>
        <v>0</v>
      </c>
      <c r="K871" s="1541">
        <f t="shared" si="57"/>
        <v>920.01</v>
      </c>
      <c r="L871" s="1541">
        <f t="shared" si="58"/>
        <v>920</v>
      </c>
      <c r="M871" s="1541">
        <f t="shared" si="59"/>
        <v>0.01</v>
      </c>
    </row>
    <row r="872" spans="1:13" x14ac:dyDescent="0.3">
      <c r="A872" s="1852" t="s">
        <v>2566</v>
      </c>
      <c r="B872" s="1462"/>
      <c r="C872" s="1456">
        <v>25556.01</v>
      </c>
      <c r="D872" s="1456">
        <v>25556</v>
      </c>
      <c r="E872" s="1896">
        <v>0.01</v>
      </c>
      <c r="J872" s="1541">
        <f t="shared" si="56"/>
        <v>0</v>
      </c>
      <c r="K872" s="1541">
        <f t="shared" si="57"/>
        <v>25556.01</v>
      </c>
      <c r="L872" s="1541">
        <f t="shared" si="58"/>
        <v>25556</v>
      </c>
      <c r="M872" s="1541">
        <f t="shared" si="59"/>
        <v>0.01</v>
      </c>
    </row>
    <row r="873" spans="1:13" x14ac:dyDescent="0.3">
      <c r="A873" s="1852" t="s">
        <v>2604</v>
      </c>
      <c r="B873" s="1462"/>
      <c r="C873" s="1456">
        <v>6395.01</v>
      </c>
      <c r="D873" s="1456">
        <v>6395</v>
      </c>
      <c r="E873" s="1896">
        <v>0.01</v>
      </c>
      <c r="J873" s="1541">
        <f t="shared" si="56"/>
        <v>0</v>
      </c>
      <c r="K873" s="1541">
        <f t="shared" si="57"/>
        <v>6395.01</v>
      </c>
      <c r="L873" s="1541">
        <f t="shared" si="58"/>
        <v>6395</v>
      </c>
      <c r="M873" s="1541">
        <f t="shared" si="59"/>
        <v>0.01</v>
      </c>
    </row>
    <row r="874" spans="1:13" x14ac:dyDescent="0.3">
      <c r="A874" s="1852" t="s">
        <v>2618</v>
      </c>
      <c r="B874" s="1462"/>
      <c r="C874" s="1456">
        <v>34416.01</v>
      </c>
      <c r="D874" s="1456">
        <v>34416</v>
      </c>
      <c r="E874" s="1896">
        <v>0.01</v>
      </c>
      <c r="J874" s="1541">
        <f t="shared" si="56"/>
        <v>0</v>
      </c>
      <c r="K874" s="1541">
        <f t="shared" si="57"/>
        <v>34416.01</v>
      </c>
      <c r="L874" s="1541">
        <f t="shared" si="58"/>
        <v>34416</v>
      </c>
      <c r="M874" s="1541">
        <f t="shared" si="59"/>
        <v>0.01</v>
      </c>
    </row>
    <row r="875" spans="1:13" x14ac:dyDescent="0.3">
      <c r="A875" s="1852" t="s">
        <v>2626</v>
      </c>
      <c r="B875" s="1462"/>
      <c r="C875" s="1456">
        <v>12360.01</v>
      </c>
      <c r="D875" s="1456">
        <v>12360</v>
      </c>
      <c r="E875" s="1896">
        <v>0.01</v>
      </c>
      <c r="J875" s="1541">
        <f t="shared" si="56"/>
        <v>0</v>
      </c>
      <c r="K875" s="1541">
        <f t="shared" si="57"/>
        <v>12360.01</v>
      </c>
      <c r="L875" s="1541">
        <f t="shared" si="58"/>
        <v>12360</v>
      </c>
      <c r="M875" s="1541">
        <f t="shared" si="59"/>
        <v>0.01</v>
      </c>
    </row>
    <row r="876" spans="1:13" x14ac:dyDescent="0.3">
      <c r="A876" s="1852" t="s">
        <v>2654</v>
      </c>
      <c r="B876" s="1462"/>
      <c r="C876" s="1456">
        <v>13096.01</v>
      </c>
      <c r="D876" s="1456">
        <v>13096</v>
      </c>
      <c r="E876" s="1896">
        <v>0.01</v>
      </c>
      <c r="J876" s="1541">
        <f t="shared" si="56"/>
        <v>0</v>
      </c>
      <c r="K876" s="1541">
        <f t="shared" si="57"/>
        <v>13096.01</v>
      </c>
      <c r="L876" s="1541">
        <f t="shared" si="58"/>
        <v>13096</v>
      </c>
      <c r="M876" s="1541">
        <f t="shared" si="59"/>
        <v>0.01</v>
      </c>
    </row>
    <row r="877" spans="1:13" x14ac:dyDescent="0.3">
      <c r="A877" s="1852" t="s">
        <v>2667</v>
      </c>
      <c r="B877" s="1462"/>
      <c r="C877" s="1456">
        <v>6696.01</v>
      </c>
      <c r="D877" s="1456">
        <v>6696</v>
      </c>
      <c r="E877" s="1896">
        <v>0.01</v>
      </c>
      <c r="J877" s="1541">
        <f t="shared" si="56"/>
        <v>0</v>
      </c>
      <c r="K877" s="1541">
        <f t="shared" si="57"/>
        <v>6696.01</v>
      </c>
      <c r="L877" s="1541">
        <f t="shared" si="58"/>
        <v>6696</v>
      </c>
      <c r="M877" s="1541">
        <f t="shared" si="59"/>
        <v>0.01</v>
      </c>
    </row>
    <row r="878" spans="1:13" x14ac:dyDescent="0.3">
      <c r="A878" s="1852" t="s">
        <v>2729</v>
      </c>
      <c r="B878" s="1462"/>
      <c r="C878" s="1456">
        <v>1050.01</v>
      </c>
      <c r="D878" s="1456">
        <v>1050</v>
      </c>
      <c r="E878" s="1896">
        <v>0.01</v>
      </c>
      <c r="J878" s="1541">
        <f t="shared" si="56"/>
        <v>0</v>
      </c>
      <c r="K878" s="1541">
        <f t="shared" si="57"/>
        <v>1050.01</v>
      </c>
      <c r="L878" s="1541">
        <f t="shared" si="58"/>
        <v>1050</v>
      </c>
      <c r="M878" s="1541">
        <f t="shared" si="59"/>
        <v>0.01</v>
      </c>
    </row>
    <row r="879" spans="1:13" x14ac:dyDescent="0.3">
      <c r="A879" s="1852" t="s">
        <v>2758</v>
      </c>
      <c r="B879" s="1462"/>
      <c r="C879" s="1456">
        <v>11990.01</v>
      </c>
      <c r="D879" s="1456">
        <v>11990</v>
      </c>
      <c r="E879" s="1896">
        <v>0.01</v>
      </c>
      <c r="J879" s="1541">
        <f t="shared" si="56"/>
        <v>0</v>
      </c>
      <c r="K879" s="1541">
        <f t="shared" si="57"/>
        <v>11990.01</v>
      </c>
      <c r="L879" s="1541">
        <f t="shared" si="58"/>
        <v>11990</v>
      </c>
      <c r="M879" s="1541">
        <f t="shared" si="59"/>
        <v>0.01</v>
      </c>
    </row>
    <row r="880" spans="1:13" x14ac:dyDescent="0.3">
      <c r="A880" s="1855" t="s">
        <v>2784</v>
      </c>
      <c r="B880" s="1462"/>
      <c r="C880" s="1456">
        <v>29170.01</v>
      </c>
      <c r="D880" s="1456">
        <v>29170</v>
      </c>
      <c r="E880" s="1896">
        <v>0.01</v>
      </c>
      <c r="J880" s="1541">
        <f t="shared" si="56"/>
        <v>0</v>
      </c>
      <c r="K880" s="1541">
        <f t="shared" si="57"/>
        <v>29170.01</v>
      </c>
      <c r="L880" s="1541">
        <f t="shared" si="58"/>
        <v>29170</v>
      </c>
      <c r="M880" s="1541">
        <f t="shared" si="59"/>
        <v>0.01</v>
      </c>
    </row>
    <row r="881" spans="1:13" x14ac:dyDescent="0.3">
      <c r="A881" s="1852" t="s">
        <v>2798</v>
      </c>
      <c r="B881" s="1462"/>
      <c r="C881" s="1456">
        <v>936.01</v>
      </c>
      <c r="D881" s="1456">
        <v>936</v>
      </c>
      <c r="E881" s="1896">
        <v>0.01</v>
      </c>
      <c r="J881" s="1541">
        <f t="shared" si="56"/>
        <v>0</v>
      </c>
      <c r="K881" s="1541">
        <f t="shared" si="57"/>
        <v>936.01</v>
      </c>
      <c r="L881" s="1541">
        <f t="shared" si="58"/>
        <v>936</v>
      </c>
      <c r="M881" s="1541">
        <f t="shared" si="59"/>
        <v>0.01</v>
      </c>
    </row>
    <row r="882" spans="1:13" x14ac:dyDescent="0.3">
      <c r="A882" s="1852" t="s">
        <v>2807</v>
      </c>
      <c r="B882" s="1462"/>
      <c r="C882" s="1456">
        <v>2082.0100000000002</v>
      </c>
      <c r="D882" s="1456">
        <v>2082</v>
      </c>
      <c r="E882" s="1896">
        <v>0.01</v>
      </c>
      <c r="J882" s="1541">
        <f t="shared" si="56"/>
        <v>0</v>
      </c>
      <c r="K882" s="1541">
        <f t="shared" si="57"/>
        <v>2082.0100000000002</v>
      </c>
      <c r="L882" s="1541">
        <f t="shared" si="58"/>
        <v>2082</v>
      </c>
      <c r="M882" s="1541">
        <f t="shared" si="59"/>
        <v>0.01</v>
      </c>
    </row>
    <row r="883" spans="1:13" x14ac:dyDescent="0.3">
      <c r="A883" s="1852" t="s">
        <v>2821</v>
      </c>
      <c r="B883" s="1462"/>
      <c r="C883" s="1456">
        <v>5388.01</v>
      </c>
      <c r="D883" s="1456">
        <v>5388</v>
      </c>
      <c r="E883" s="1896">
        <v>0.01</v>
      </c>
      <c r="J883" s="1541">
        <f t="shared" si="56"/>
        <v>0</v>
      </c>
      <c r="K883" s="1541">
        <f t="shared" si="57"/>
        <v>5388.01</v>
      </c>
      <c r="L883" s="1541">
        <f t="shared" si="58"/>
        <v>5388</v>
      </c>
      <c r="M883" s="1541">
        <f t="shared" si="59"/>
        <v>0.01</v>
      </c>
    </row>
    <row r="884" spans="1:13" x14ac:dyDescent="0.3">
      <c r="A884" s="1852" t="s">
        <v>2827</v>
      </c>
      <c r="B884" s="1462"/>
      <c r="C884" s="1456">
        <v>630.01</v>
      </c>
      <c r="D884" s="1456">
        <v>630</v>
      </c>
      <c r="E884" s="1896">
        <v>0.01</v>
      </c>
      <c r="J884" s="1541">
        <f t="shared" si="56"/>
        <v>0</v>
      </c>
      <c r="K884" s="1541">
        <f t="shared" si="57"/>
        <v>630.01</v>
      </c>
      <c r="L884" s="1541">
        <f t="shared" si="58"/>
        <v>630</v>
      </c>
      <c r="M884" s="1541">
        <f t="shared" si="59"/>
        <v>0.01</v>
      </c>
    </row>
    <row r="885" spans="1:13" x14ac:dyDescent="0.3">
      <c r="A885" s="1852" t="s">
        <v>2851</v>
      </c>
      <c r="B885" s="1462"/>
      <c r="C885" s="1456">
        <v>1456.01</v>
      </c>
      <c r="D885" s="1456">
        <v>1456</v>
      </c>
      <c r="E885" s="1896">
        <v>0.01</v>
      </c>
      <c r="J885" s="1541">
        <f t="shared" si="56"/>
        <v>0</v>
      </c>
      <c r="K885" s="1541">
        <f t="shared" si="57"/>
        <v>1456.01</v>
      </c>
      <c r="L885" s="1541">
        <f t="shared" si="58"/>
        <v>1456</v>
      </c>
      <c r="M885" s="1541">
        <f t="shared" si="59"/>
        <v>0.01</v>
      </c>
    </row>
    <row r="886" spans="1:13" x14ac:dyDescent="0.3">
      <c r="A886" s="1852" t="s">
        <v>2865</v>
      </c>
      <c r="B886" s="1462"/>
      <c r="C886" s="1456">
        <v>8158.01</v>
      </c>
      <c r="D886" s="1456">
        <v>8158</v>
      </c>
      <c r="E886" s="1896">
        <v>0.01</v>
      </c>
      <c r="J886" s="1541">
        <f t="shared" si="56"/>
        <v>0</v>
      </c>
      <c r="K886" s="1541">
        <f t="shared" si="57"/>
        <v>8158.01</v>
      </c>
      <c r="L886" s="1541">
        <f t="shared" si="58"/>
        <v>8158</v>
      </c>
      <c r="M886" s="1541">
        <f t="shared" si="59"/>
        <v>0.01</v>
      </c>
    </row>
    <row r="887" spans="1:13" x14ac:dyDescent="0.3">
      <c r="A887" s="1852" t="s">
        <v>2876</v>
      </c>
      <c r="B887" s="1462"/>
      <c r="C887" s="1456">
        <v>27384.01</v>
      </c>
      <c r="D887" s="1456">
        <v>27384</v>
      </c>
      <c r="E887" s="1896">
        <v>0.01</v>
      </c>
      <c r="J887" s="1541">
        <f t="shared" si="56"/>
        <v>0</v>
      </c>
      <c r="K887" s="1541">
        <f t="shared" si="57"/>
        <v>27384.01</v>
      </c>
      <c r="L887" s="1541">
        <f t="shared" si="58"/>
        <v>27384</v>
      </c>
      <c r="M887" s="1541">
        <f t="shared" si="59"/>
        <v>0.01</v>
      </c>
    </row>
    <row r="888" spans="1:13" x14ac:dyDescent="0.3">
      <c r="A888" s="1852" t="s">
        <v>2933</v>
      </c>
      <c r="B888" s="1462"/>
      <c r="C888" s="1456">
        <v>930.01</v>
      </c>
      <c r="D888" s="1456">
        <v>930</v>
      </c>
      <c r="E888" s="1896">
        <v>0.01</v>
      </c>
      <c r="J888" s="1541">
        <f t="shared" si="56"/>
        <v>0</v>
      </c>
      <c r="K888" s="1541">
        <f t="shared" si="57"/>
        <v>930.01</v>
      </c>
      <c r="L888" s="1541">
        <f t="shared" si="58"/>
        <v>930</v>
      </c>
      <c r="M888" s="1541">
        <f t="shared" si="59"/>
        <v>0.01</v>
      </c>
    </row>
    <row r="889" spans="1:13" x14ac:dyDescent="0.3">
      <c r="A889" s="1855" t="s">
        <v>3056</v>
      </c>
      <c r="B889" s="1462"/>
      <c r="C889" s="1456">
        <v>13773.01</v>
      </c>
      <c r="D889" s="1456">
        <v>13773</v>
      </c>
      <c r="E889" s="1896">
        <v>0.01</v>
      </c>
      <c r="J889" s="1541">
        <f t="shared" si="56"/>
        <v>0</v>
      </c>
      <c r="K889" s="1541">
        <f t="shared" si="57"/>
        <v>13773.01</v>
      </c>
      <c r="L889" s="1541">
        <f t="shared" si="58"/>
        <v>13773</v>
      </c>
      <c r="M889" s="1541">
        <f t="shared" si="59"/>
        <v>0.01</v>
      </c>
    </row>
    <row r="890" spans="1:13" x14ac:dyDescent="0.3">
      <c r="A890" s="1855" t="s">
        <v>3276</v>
      </c>
      <c r="B890" s="1462"/>
      <c r="C890" s="1456">
        <v>6046.01</v>
      </c>
      <c r="D890" s="1456">
        <v>6046</v>
      </c>
      <c r="E890" s="1896">
        <v>0.01</v>
      </c>
      <c r="J890" s="1541">
        <f t="shared" si="56"/>
        <v>0</v>
      </c>
      <c r="K890" s="1541">
        <f t="shared" si="57"/>
        <v>6046.01</v>
      </c>
      <c r="L890" s="1541">
        <f t="shared" si="58"/>
        <v>6046</v>
      </c>
      <c r="M890" s="1541">
        <f t="shared" si="59"/>
        <v>0.01</v>
      </c>
    </row>
    <row r="891" spans="1:13" x14ac:dyDescent="0.3">
      <c r="A891" s="1852" t="s">
        <v>3330</v>
      </c>
      <c r="B891" s="1462"/>
      <c r="C891" s="1456">
        <v>4416.01</v>
      </c>
      <c r="D891" s="1456">
        <v>4416</v>
      </c>
      <c r="E891" s="1896">
        <v>0.01</v>
      </c>
      <c r="J891" s="1541">
        <f t="shared" si="56"/>
        <v>0</v>
      </c>
      <c r="K891" s="1541">
        <f t="shared" si="57"/>
        <v>4416.01</v>
      </c>
      <c r="L891" s="1541">
        <f t="shared" si="58"/>
        <v>4416</v>
      </c>
      <c r="M891" s="1541">
        <f t="shared" si="59"/>
        <v>0.01</v>
      </c>
    </row>
    <row r="892" spans="1:13" x14ac:dyDescent="0.3">
      <c r="A892" s="1855" t="s">
        <v>2517</v>
      </c>
      <c r="B892" s="1462"/>
      <c r="C892" s="1456">
        <v>142640.01999999999</v>
      </c>
      <c r="D892" s="1456">
        <v>142640</v>
      </c>
      <c r="E892" s="1896">
        <v>0.02</v>
      </c>
      <c r="J892" s="1541">
        <f t="shared" si="56"/>
        <v>0</v>
      </c>
      <c r="K892" s="1541">
        <f t="shared" si="57"/>
        <v>142640.01999999999</v>
      </c>
      <c r="L892" s="1541">
        <f t="shared" si="58"/>
        <v>142640</v>
      </c>
      <c r="M892" s="1541">
        <f t="shared" si="59"/>
        <v>0.02</v>
      </c>
    </row>
    <row r="893" spans="1:13" x14ac:dyDescent="0.3">
      <c r="A893" s="1852" t="s">
        <v>2642</v>
      </c>
      <c r="B893" s="1462"/>
      <c r="C893" s="1456">
        <v>11340</v>
      </c>
      <c r="D893" s="1456">
        <v>11339.98</v>
      </c>
      <c r="E893" s="1896">
        <v>0.02</v>
      </c>
      <c r="J893" s="1541">
        <f t="shared" si="56"/>
        <v>0</v>
      </c>
      <c r="K893" s="1541">
        <f t="shared" si="57"/>
        <v>11340</v>
      </c>
      <c r="L893" s="1541">
        <f t="shared" si="58"/>
        <v>11339.98</v>
      </c>
      <c r="M893" s="1541">
        <f t="shared" si="59"/>
        <v>0.02</v>
      </c>
    </row>
    <row r="894" spans="1:13" x14ac:dyDescent="0.3">
      <c r="A894" s="1855" t="s">
        <v>2669</v>
      </c>
      <c r="B894" s="1462"/>
      <c r="C894" s="1456">
        <v>4384.01</v>
      </c>
      <c r="D894" s="1456">
        <v>4383.99</v>
      </c>
      <c r="E894" s="1896">
        <v>0.02</v>
      </c>
      <c r="J894" s="1541">
        <f t="shared" si="56"/>
        <v>0</v>
      </c>
      <c r="K894" s="1541">
        <f t="shared" si="57"/>
        <v>4384.01</v>
      </c>
      <c r="L894" s="1541">
        <f t="shared" si="58"/>
        <v>4383.99</v>
      </c>
      <c r="M894" s="1541">
        <f t="shared" si="59"/>
        <v>0.02</v>
      </c>
    </row>
    <row r="895" spans="1:13" x14ac:dyDescent="0.3">
      <c r="A895" s="1855" t="s">
        <v>2715</v>
      </c>
      <c r="B895" s="1462"/>
      <c r="C895" s="1456">
        <v>28010.02</v>
      </c>
      <c r="D895" s="1456">
        <v>28010</v>
      </c>
      <c r="E895" s="1896">
        <v>0.02</v>
      </c>
      <c r="J895" s="1541">
        <f t="shared" si="56"/>
        <v>0</v>
      </c>
      <c r="K895" s="1541">
        <f t="shared" si="57"/>
        <v>28010.02</v>
      </c>
      <c r="L895" s="1541">
        <f t="shared" si="58"/>
        <v>28010</v>
      </c>
      <c r="M895" s="1541">
        <f t="shared" si="59"/>
        <v>0.02</v>
      </c>
    </row>
    <row r="896" spans="1:13" x14ac:dyDescent="0.3">
      <c r="A896" s="1855" t="s">
        <v>2902</v>
      </c>
      <c r="B896" s="1462"/>
      <c r="C896" s="1456">
        <v>151000.01999999999</v>
      </c>
      <c r="D896" s="1456">
        <v>151000</v>
      </c>
      <c r="E896" s="1896">
        <v>0.02</v>
      </c>
      <c r="J896" s="1541">
        <f t="shared" si="56"/>
        <v>0</v>
      </c>
      <c r="K896" s="1541">
        <f t="shared" si="57"/>
        <v>151000.01999999999</v>
      </c>
      <c r="L896" s="1541">
        <f t="shared" si="58"/>
        <v>151000</v>
      </c>
      <c r="M896" s="1541">
        <f t="shared" si="59"/>
        <v>0.02</v>
      </c>
    </row>
    <row r="897" spans="1:13" x14ac:dyDescent="0.3">
      <c r="A897" s="1852" t="s">
        <v>2907</v>
      </c>
      <c r="B897" s="1462"/>
      <c r="C897" s="1456">
        <v>34171.019999999997</v>
      </c>
      <c r="D897" s="1456">
        <v>34171</v>
      </c>
      <c r="E897" s="1896">
        <v>0.02</v>
      </c>
      <c r="J897" s="1541">
        <f t="shared" si="56"/>
        <v>0</v>
      </c>
      <c r="K897" s="1541">
        <f t="shared" si="57"/>
        <v>34171.019999999997</v>
      </c>
      <c r="L897" s="1541">
        <f t="shared" si="58"/>
        <v>34171</v>
      </c>
      <c r="M897" s="1541">
        <f t="shared" si="59"/>
        <v>0.02</v>
      </c>
    </row>
    <row r="898" spans="1:13" x14ac:dyDescent="0.3">
      <c r="A898" s="1852" t="s">
        <v>3015</v>
      </c>
      <c r="B898" s="1462"/>
      <c r="C898" s="1456">
        <v>37192.019999999997</v>
      </c>
      <c r="D898" s="1456">
        <v>37192</v>
      </c>
      <c r="E898" s="1896">
        <v>0.02</v>
      </c>
      <c r="J898" s="1541">
        <f t="shared" si="56"/>
        <v>0</v>
      </c>
      <c r="K898" s="1541">
        <f t="shared" si="57"/>
        <v>37192.019999999997</v>
      </c>
      <c r="L898" s="1541">
        <f t="shared" si="58"/>
        <v>37192</v>
      </c>
      <c r="M898" s="1541">
        <f t="shared" si="59"/>
        <v>0.02</v>
      </c>
    </row>
    <row r="899" spans="1:13" x14ac:dyDescent="0.3">
      <c r="A899" s="1852" t="s">
        <v>3016</v>
      </c>
      <c r="B899" s="1462"/>
      <c r="C899" s="1456">
        <v>23081.02</v>
      </c>
      <c r="D899" s="1456">
        <v>23081</v>
      </c>
      <c r="E899" s="1896">
        <v>0.02</v>
      </c>
      <c r="J899" s="1541">
        <f t="shared" si="56"/>
        <v>0</v>
      </c>
      <c r="K899" s="1541">
        <f t="shared" si="57"/>
        <v>23081.02</v>
      </c>
      <c r="L899" s="1541">
        <f t="shared" si="58"/>
        <v>23081</v>
      </c>
      <c r="M899" s="1541">
        <f t="shared" si="59"/>
        <v>0.02</v>
      </c>
    </row>
    <row r="900" spans="1:13" x14ac:dyDescent="0.3">
      <c r="A900" s="1852" t="s">
        <v>3035</v>
      </c>
      <c r="B900" s="1462"/>
      <c r="C900" s="1456">
        <v>41530.019999999997</v>
      </c>
      <c r="D900" s="1456">
        <v>41530</v>
      </c>
      <c r="E900" s="1896">
        <v>0.02</v>
      </c>
      <c r="J900" s="1541">
        <f t="shared" si="56"/>
        <v>0</v>
      </c>
      <c r="K900" s="1541">
        <f t="shared" si="57"/>
        <v>41530.019999999997</v>
      </c>
      <c r="L900" s="1541">
        <f t="shared" si="58"/>
        <v>41530</v>
      </c>
      <c r="M900" s="1541">
        <f t="shared" si="59"/>
        <v>0.02</v>
      </c>
    </row>
    <row r="901" spans="1:13" x14ac:dyDescent="0.3">
      <c r="A901" s="1852" t="s">
        <v>2603</v>
      </c>
      <c r="B901" s="1462"/>
      <c r="C901" s="1456">
        <v>6904</v>
      </c>
      <c r="D901" s="1456">
        <v>6903.97</v>
      </c>
      <c r="E901" s="1896">
        <v>0.03</v>
      </c>
      <c r="J901" s="1541">
        <f t="shared" si="56"/>
        <v>0</v>
      </c>
      <c r="K901" s="1541">
        <f t="shared" si="57"/>
        <v>6904</v>
      </c>
      <c r="L901" s="1541">
        <f t="shared" si="58"/>
        <v>6903.97</v>
      </c>
      <c r="M901" s="1541">
        <f t="shared" si="59"/>
        <v>0.03</v>
      </c>
    </row>
    <row r="902" spans="1:13" x14ac:dyDescent="0.3">
      <c r="A902" s="1852" t="s">
        <v>2718</v>
      </c>
      <c r="B902" s="1462"/>
      <c r="C902" s="1456">
        <v>7644.01</v>
      </c>
      <c r="D902" s="1456">
        <v>7643.98</v>
      </c>
      <c r="E902" s="1896">
        <v>0.03</v>
      </c>
      <c r="J902" s="1541">
        <f t="shared" si="56"/>
        <v>0</v>
      </c>
      <c r="K902" s="1541">
        <f t="shared" si="57"/>
        <v>7644.01</v>
      </c>
      <c r="L902" s="1541">
        <f t="shared" si="58"/>
        <v>7643.98</v>
      </c>
      <c r="M902" s="1541">
        <f t="shared" si="59"/>
        <v>0.03</v>
      </c>
    </row>
    <row r="903" spans="1:13" x14ac:dyDescent="0.3">
      <c r="A903" s="1852" t="s">
        <v>2840</v>
      </c>
      <c r="B903" s="1462"/>
      <c r="C903" s="1456">
        <v>83594.02</v>
      </c>
      <c r="D903" s="1456">
        <v>83593.990000000005</v>
      </c>
      <c r="E903" s="1896">
        <v>0.03</v>
      </c>
      <c r="J903" s="1541">
        <f t="shared" si="56"/>
        <v>0</v>
      </c>
      <c r="K903" s="1541">
        <f t="shared" si="57"/>
        <v>83594.02</v>
      </c>
      <c r="L903" s="1541">
        <f t="shared" si="58"/>
        <v>83593.990000000005</v>
      </c>
      <c r="M903" s="1541">
        <f t="shared" si="59"/>
        <v>0.03</v>
      </c>
    </row>
    <row r="904" spans="1:13" x14ac:dyDescent="0.3">
      <c r="A904" s="1855" t="s">
        <v>3055</v>
      </c>
      <c r="B904" s="1462"/>
      <c r="C904" s="1456">
        <v>13135.01</v>
      </c>
      <c r="D904" s="1456">
        <v>13134.98</v>
      </c>
      <c r="E904" s="1896">
        <v>0.03</v>
      </c>
      <c r="J904" s="1541">
        <f t="shared" si="56"/>
        <v>0</v>
      </c>
      <c r="K904" s="1541">
        <f t="shared" si="57"/>
        <v>13135.01</v>
      </c>
      <c r="L904" s="1541">
        <f t="shared" si="58"/>
        <v>13134.98</v>
      </c>
      <c r="M904" s="1541">
        <f t="shared" si="59"/>
        <v>0.03</v>
      </c>
    </row>
    <row r="905" spans="1:13" x14ac:dyDescent="0.3">
      <c r="A905" s="1852" t="s">
        <v>2597</v>
      </c>
      <c r="B905" s="1462"/>
      <c r="C905" s="1456">
        <v>55206.04</v>
      </c>
      <c r="D905" s="1456">
        <v>55206</v>
      </c>
      <c r="E905" s="1896">
        <v>0.04</v>
      </c>
      <c r="J905" s="1541">
        <f t="shared" si="56"/>
        <v>0</v>
      </c>
      <c r="K905" s="1541">
        <f t="shared" si="57"/>
        <v>55206.04</v>
      </c>
      <c r="L905" s="1541">
        <f t="shared" si="58"/>
        <v>55206</v>
      </c>
      <c r="M905" s="1541">
        <f t="shared" si="59"/>
        <v>0.04</v>
      </c>
    </row>
    <row r="906" spans="1:13" x14ac:dyDescent="0.3">
      <c r="A906" s="1852" t="s">
        <v>2682</v>
      </c>
      <c r="B906" s="1462"/>
      <c r="C906" s="1456">
        <v>42156.04</v>
      </c>
      <c r="D906" s="1456">
        <v>42156</v>
      </c>
      <c r="E906" s="1896">
        <v>0.04</v>
      </c>
      <c r="J906" s="1541">
        <f t="shared" si="56"/>
        <v>0</v>
      </c>
      <c r="K906" s="1541">
        <f t="shared" si="57"/>
        <v>42156.04</v>
      </c>
      <c r="L906" s="1541">
        <f t="shared" si="58"/>
        <v>42156</v>
      </c>
      <c r="M906" s="1541">
        <f t="shared" si="59"/>
        <v>0.04</v>
      </c>
    </row>
    <row r="907" spans="1:13" x14ac:dyDescent="0.3">
      <c r="A907" s="1852" t="s">
        <v>2766</v>
      </c>
      <c r="B907" s="1462"/>
      <c r="C907" s="1456">
        <v>29410.04</v>
      </c>
      <c r="D907" s="1456">
        <v>29410</v>
      </c>
      <c r="E907" s="1896">
        <v>0.04</v>
      </c>
      <c r="J907" s="1541">
        <f t="shared" si="56"/>
        <v>0</v>
      </c>
      <c r="K907" s="1541">
        <f t="shared" si="57"/>
        <v>29410.04</v>
      </c>
      <c r="L907" s="1541">
        <f t="shared" si="58"/>
        <v>29410</v>
      </c>
      <c r="M907" s="1541">
        <f t="shared" si="59"/>
        <v>0.04</v>
      </c>
    </row>
    <row r="908" spans="1:13" x14ac:dyDescent="0.3">
      <c r="A908" s="1855" t="s">
        <v>2892</v>
      </c>
      <c r="B908" s="1462"/>
      <c r="C908" s="1456">
        <v>7984.01</v>
      </c>
      <c r="D908" s="1456">
        <v>7983.97</v>
      </c>
      <c r="E908" s="1896">
        <v>0.04</v>
      </c>
      <c r="J908" s="1541">
        <f t="shared" si="56"/>
        <v>0</v>
      </c>
      <c r="K908" s="1541">
        <f t="shared" si="57"/>
        <v>7984.01</v>
      </c>
      <c r="L908" s="1541">
        <f t="shared" si="58"/>
        <v>7983.97</v>
      </c>
      <c r="M908" s="1541">
        <f t="shared" si="59"/>
        <v>0.04</v>
      </c>
    </row>
    <row r="909" spans="1:13" x14ac:dyDescent="0.3">
      <c r="A909" s="1855" t="s">
        <v>2994</v>
      </c>
      <c r="B909" s="1462"/>
      <c r="C909" s="1456">
        <v>213850.04</v>
      </c>
      <c r="D909" s="1456">
        <v>213850</v>
      </c>
      <c r="E909" s="1896">
        <v>0.04</v>
      </c>
      <c r="J909" s="1541">
        <f t="shared" si="56"/>
        <v>0</v>
      </c>
      <c r="K909" s="1541">
        <f t="shared" si="57"/>
        <v>213850.04</v>
      </c>
      <c r="L909" s="1541">
        <f t="shared" si="58"/>
        <v>213850</v>
      </c>
      <c r="M909" s="1541">
        <f t="shared" si="59"/>
        <v>0.04</v>
      </c>
    </row>
    <row r="910" spans="1:13" x14ac:dyDescent="0.3">
      <c r="A910" s="1852" t="s">
        <v>3013</v>
      </c>
      <c r="B910" s="1462"/>
      <c r="C910" s="1456">
        <v>36390.04</v>
      </c>
      <c r="D910" s="1456">
        <v>36390</v>
      </c>
      <c r="E910" s="1896">
        <v>0.04</v>
      </c>
      <c r="J910" s="1541">
        <f t="shared" si="56"/>
        <v>0</v>
      </c>
      <c r="K910" s="1541">
        <f t="shared" si="57"/>
        <v>36390.04</v>
      </c>
      <c r="L910" s="1541">
        <f t="shared" si="58"/>
        <v>36390</v>
      </c>
      <c r="M910" s="1541">
        <f t="shared" si="59"/>
        <v>0.04</v>
      </c>
    </row>
    <row r="911" spans="1:13" x14ac:dyDescent="0.3">
      <c r="A911" s="1852" t="s">
        <v>2957</v>
      </c>
      <c r="B911" s="1462"/>
      <c r="C911" s="1456">
        <v>339027.06</v>
      </c>
      <c r="D911" s="1456">
        <v>339027</v>
      </c>
      <c r="E911" s="1896">
        <v>0.06</v>
      </c>
      <c r="J911" s="1541">
        <f t="shared" si="56"/>
        <v>0</v>
      </c>
      <c r="K911" s="1541">
        <f t="shared" si="57"/>
        <v>339027.06</v>
      </c>
      <c r="L911" s="1541">
        <f t="shared" si="58"/>
        <v>339027</v>
      </c>
      <c r="M911" s="1541">
        <f t="shared" si="59"/>
        <v>0.06</v>
      </c>
    </row>
    <row r="912" spans="1:13" x14ac:dyDescent="0.3">
      <c r="A912" s="1852" t="s">
        <v>2961</v>
      </c>
      <c r="B912" s="1462"/>
      <c r="C912" s="1456">
        <v>25379.01</v>
      </c>
      <c r="D912" s="1456">
        <v>25378.95</v>
      </c>
      <c r="E912" s="1896">
        <v>0.06</v>
      </c>
      <c r="J912" s="1541">
        <f t="shared" si="56"/>
        <v>0</v>
      </c>
      <c r="K912" s="1541">
        <f t="shared" si="57"/>
        <v>25379.01</v>
      </c>
      <c r="L912" s="1541">
        <f t="shared" si="58"/>
        <v>25378.95</v>
      </c>
      <c r="M912" s="1541">
        <f t="shared" si="59"/>
        <v>0.06</v>
      </c>
    </row>
    <row r="913" spans="1:13" x14ac:dyDescent="0.3">
      <c r="A913" s="1852" t="s">
        <v>2706</v>
      </c>
      <c r="B913" s="1462"/>
      <c r="C913" s="1456">
        <v>11632</v>
      </c>
      <c r="D913" s="1456">
        <v>11631.9</v>
      </c>
      <c r="E913" s="1896">
        <v>0.1</v>
      </c>
      <c r="J913" s="1541">
        <f t="shared" si="56"/>
        <v>0</v>
      </c>
      <c r="K913" s="1541">
        <f t="shared" si="57"/>
        <v>11632</v>
      </c>
      <c r="L913" s="1541">
        <f t="shared" si="58"/>
        <v>11631.9</v>
      </c>
      <c r="M913" s="1541">
        <f t="shared" si="59"/>
        <v>0.1</v>
      </c>
    </row>
    <row r="914" spans="1:13" x14ac:dyDescent="0.3">
      <c r="A914" s="1852" t="s">
        <v>3346</v>
      </c>
      <c r="B914" s="1462"/>
      <c r="C914" s="1456">
        <v>199330.02</v>
      </c>
      <c r="D914" s="1456">
        <v>199329.92000000001</v>
      </c>
      <c r="E914" s="1896">
        <v>0.1</v>
      </c>
      <c r="J914" s="1541">
        <f t="shared" si="56"/>
        <v>0</v>
      </c>
      <c r="K914" s="1541">
        <f t="shared" si="57"/>
        <v>199330.02</v>
      </c>
      <c r="L914" s="1541">
        <f t="shared" si="58"/>
        <v>199329.92000000001</v>
      </c>
      <c r="M914" s="1541">
        <f t="shared" si="59"/>
        <v>0.1</v>
      </c>
    </row>
    <row r="915" spans="1:13" x14ac:dyDescent="0.3">
      <c r="A915" s="1855" t="s">
        <v>2665</v>
      </c>
      <c r="B915" s="1462"/>
      <c r="C915" s="1456">
        <v>325161.02</v>
      </c>
      <c r="D915" s="1456">
        <v>325160</v>
      </c>
      <c r="E915" s="1896">
        <v>1.02</v>
      </c>
      <c r="J915" s="1541">
        <f t="shared" si="56"/>
        <v>0</v>
      </c>
      <c r="K915" s="1541">
        <f t="shared" si="57"/>
        <v>325161.02</v>
      </c>
      <c r="L915" s="1541">
        <f t="shared" si="58"/>
        <v>325160</v>
      </c>
      <c r="M915" s="1541">
        <f t="shared" si="59"/>
        <v>1.02</v>
      </c>
    </row>
    <row r="916" spans="1:13" x14ac:dyDescent="0.3">
      <c r="A916" s="1852" t="s">
        <v>2661</v>
      </c>
      <c r="B916" s="1462"/>
      <c r="C916" s="1456">
        <v>347923.06</v>
      </c>
      <c r="D916" s="1456">
        <v>347920</v>
      </c>
      <c r="E916" s="1896">
        <v>3.06</v>
      </c>
      <c r="J916" s="1541">
        <f t="shared" si="56"/>
        <v>0</v>
      </c>
      <c r="K916" s="1541">
        <f t="shared" si="57"/>
        <v>347923.06</v>
      </c>
      <c r="L916" s="1541">
        <f t="shared" si="58"/>
        <v>347920</v>
      </c>
      <c r="M916" s="1541">
        <f t="shared" si="59"/>
        <v>3.06</v>
      </c>
    </row>
    <row r="917" spans="1:13" x14ac:dyDescent="0.3">
      <c r="A917" s="1852" t="s">
        <v>2681</v>
      </c>
      <c r="B917" s="1462"/>
      <c r="C917" s="1456">
        <v>320</v>
      </c>
      <c r="D917" s="1456">
        <v>300</v>
      </c>
      <c r="E917" s="1896">
        <v>20</v>
      </c>
      <c r="J917" s="1541">
        <f t="shared" si="56"/>
        <v>0</v>
      </c>
      <c r="K917" s="1541">
        <f t="shared" si="57"/>
        <v>320</v>
      </c>
      <c r="L917" s="1541">
        <f t="shared" si="58"/>
        <v>300</v>
      </c>
      <c r="M917" s="1541">
        <f t="shared" si="59"/>
        <v>20</v>
      </c>
    </row>
    <row r="918" spans="1:13" x14ac:dyDescent="0.3">
      <c r="A918" s="1852" t="s">
        <v>3092</v>
      </c>
      <c r="B918" s="1462"/>
      <c r="C918" s="1456">
        <v>17460</v>
      </c>
      <c r="D918" s="1456">
        <v>17380</v>
      </c>
      <c r="E918" s="1896">
        <v>80</v>
      </c>
      <c r="J918" s="1541">
        <f t="shared" si="56"/>
        <v>0</v>
      </c>
      <c r="K918" s="1541">
        <f t="shared" si="57"/>
        <v>17460</v>
      </c>
      <c r="L918" s="1541">
        <f t="shared" si="58"/>
        <v>17380</v>
      </c>
      <c r="M918" s="1541">
        <f t="shared" si="59"/>
        <v>80</v>
      </c>
    </row>
    <row r="919" spans="1:13" x14ac:dyDescent="0.3">
      <c r="A919" s="1852" t="s">
        <v>3212</v>
      </c>
      <c r="B919" s="1462"/>
      <c r="C919" s="1456">
        <v>140</v>
      </c>
      <c r="D919" s="1460"/>
      <c r="E919" s="1896">
        <v>140</v>
      </c>
      <c r="J919" s="1541">
        <f t="shared" si="56"/>
        <v>0</v>
      </c>
      <c r="K919" s="1541">
        <f t="shared" si="57"/>
        <v>140</v>
      </c>
      <c r="L919" s="1541">
        <f t="shared" si="58"/>
        <v>0</v>
      </c>
      <c r="M919" s="1541">
        <f t="shared" si="59"/>
        <v>140</v>
      </c>
    </row>
    <row r="920" spans="1:13" x14ac:dyDescent="0.3">
      <c r="A920" s="1855" t="s">
        <v>3355</v>
      </c>
      <c r="B920" s="1462"/>
      <c r="C920" s="1456">
        <v>99000</v>
      </c>
      <c r="D920" s="1456">
        <v>98840</v>
      </c>
      <c r="E920" s="1896">
        <v>160</v>
      </c>
      <c r="J920" s="1541">
        <f t="shared" si="56"/>
        <v>0</v>
      </c>
      <c r="K920" s="1541">
        <f t="shared" si="57"/>
        <v>99000</v>
      </c>
      <c r="L920" s="1541">
        <f t="shared" si="58"/>
        <v>98840</v>
      </c>
      <c r="M920" s="1541">
        <f t="shared" si="59"/>
        <v>160</v>
      </c>
    </row>
    <row r="921" spans="1:13" x14ac:dyDescent="0.3">
      <c r="A921" s="1852" t="s">
        <v>3274</v>
      </c>
      <c r="B921" s="1462"/>
      <c r="C921" s="1456">
        <v>9395</v>
      </c>
      <c r="D921" s="1456">
        <v>9089</v>
      </c>
      <c r="E921" s="1896">
        <v>306</v>
      </c>
      <c r="J921" s="1541">
        <f t="shared" si="56"/>
        <v>0</v>
      </c>
      <c r="K921" s="1541">
        <f t="shared" si="57"/>
        <v>9395</v>
      </c>
      <c r="L921" s="1541">
        <f t="shared" si="58"/>
        <v>9089</v>
      </c>
      <c r="M921" s="1541">
        <f t="shared" si="59"/>
        <v>306</v>
      </c>
    </row>
    <row r="922" spans="1:13" x14ac:dyDescent="0.3">
      <c r="A922" s="1855" t="s">
        <v>3416</v>
      </c>
      <c r="B922" s="1462"/>
      <c r="C922" s="1456">
        <v>13063</v>
      </c>
      <c r="D922" s="1456">
        <v>12591</v>
      </c>
      <c r="E922" s="1896">
        <v>472</v>
      </c>
      <c r="J922" s="1541">
        <f t="shared" si="56"/>
        <v>0</v>
      </c>
      <c r="K922" s="1541">
        <f t="shared" si="57"/>
        <v>13063</v>
      </c>
      <c r="L922" s="1541">
        <f t="shared" si="58"/>
        <v>12591</v>
      </c>
      <c r="M922" s="1541">
        <f t="shared" si="59"/>
        <v>472</v>
      </c>
    </row>
    <row r="923" spans="1:13" x14ac:dyDescent="0.3">
      <c r="A923" s="1855" t="s">
        <v>3278</v>
      </c>
      <c r="B923" s="1462"/>
      <c r="C923" s="1456">
        <v>320620</v>
      </c>
      <c r="D923" s="1456">
        <v>320120</v>
      </c>
      <c r="E923" s="1896">
        <v>500</v>
      </c>
      <c r="J923" s="1541">
        <f t="shared" si="56"/>
        <v>0</v>
      </c>
      <c r="K923" s="1541">
        <f t="shared" si="57"/>
        <v>320620</v>
      </c>
      <c r="L923" s="1541">
        <f t="shared" si="58"/>
        <v>320120</v>
      </c>
      <c r="M923" s="1541">
        <f t="shared" si="59"/>
        <v>500</v>
      </c>
    </row>
    <row r="924" spans="1:13" x14ac:dyDescent="0.3">
      <c r="A924" s="1852" t="s">
        <v>2611</v>
      </c>
      <c r="B924" s="1462"/>
      <c r="C924" s="1456">
        <v>21336</v>
      </c>
      <c r="D924" s="1456">
        <v>20754</v>
      </c>
      <c r="E924" s="1896">
        <v>582</v>
      </c>
      <c r="J924" s="1541">
        <f t="shared" si="56"/>
        <v>0</v>
      </c>
      <c r="K924" s="1541">
        <f t="shared" si="57"/>
        <v>21336</v>
      </c>
      <c r="L924" s="1541">
        <f t="shared" si="58"/>
        <v>20754</v>
      </c>
      <c r="M924" s="1541">
        <f t="shared" si="59"/>
        <v>582</v>
      </c>
    </row>
    <row r="925" spans="1:13" x14ac:dyDescent="0.3">
      <c r="A925" s="1852" t="s">
        <v>3452</v>
      </c>
      <c r="B925" s="1462"/>
      <c r="C925" s="1456">
        <v>660</v>
      </c>
      <c r="D925" s="1460"/>
      <c r="E925" s="1896">
        <v>660</v>
      </c>
      <c r="J925" s="1541">
        <f t="shared" si="56"/>
        <v>0</v>
      </c>
      <c r="K925" s="1541">
        <f t="shared" si="57"/>
        <v>660</v>
      </c>
      <c r="L925" s="1541">
        <f t="shared" si="58"/>
        <v>0</v>
      </c>
      <c r="M925" s="1541">
        <f t="shared" si="59"/>
        <v>660</v>
      </c>
    </row>
    <row r="926" spans="1:13" x14ac:dyDescent="0.3">
      <c r="A926" s="1852" t="s">
        <v>2664</v>
      </c>
      <c r="B926" s="1462"/>
      <c r="C926" s="1456">
        <v>12099.02</v>
      </c>
      <c r="D926" s="1456">
        <v>11199</v>
      </c>
      <c r="E926" s="1896">
        <v>900.02</v>
      </c>
      <c r="J926" s="1541">
        <f t="shared" si="56"/>
        <v>0</v>
      </c>
      <c r="K926" s="1541">
        <f t="shared" si="57"/>
        <v>12099.02</v>
      </c>
      <c r="L926" s="1541">
        <f t="shared" si="58"/>
        <v>11199</v>
      </c>
      <c r="M926" s="1541">
        <f t="shared" si="59"/>
        <v>900.02</v>
      </c>
    </row>
    <row r="927" spans="1:13" x14ac:dyDescent="0.3">
      <c r="A927" s="1855" t="s">
        <v>3216</v>
      </c>
      <c r="B927" s="1462"/>
      <c r="C927" s="1456">
        <v>1740</v>
      </c>
      <c r="D927" s="1456">
        <v>790</v>
      </c>
      <c r="E927" s="1896">
        <v>950</v>
      </c>
      <c r="J927" s="1541">
        <f t="shared" si="56"/>
        <v>0</v>
      </c>
      <c r="K927" s="1541">
        <f t="shared" si="57"/>
        <v>1740</v>
      </c>
      <c r="L927" s="1541">
        <f t="shared" si="58"/>
        <v>790</v>
      </c>
      <c r="M927" s="1541">
        <f t="shared" si="59"/>
        <v>950</v>
      </c>
    </row>
    <row r="928" spans="1:13" x14ac:dyDescent="0.3">
      <c r="A928" s="1852" t="s">
        <v>2789</v>
      </c>
      <c r="B928" s="1462"/>
      <c r="C928" s="1456">
        <v>192212</v>
      </c>
      <c r="D928" s="1456">
        <v>191212</v>
      </c>
      <c r="E928" s="1896">
        <v>1000</v>
      </c>
      <c r="J928" s="1541">
        <f t="shared" si="56"/>
        <v>0</v>
      </c>
      <c r="K928" s="1541">
        <f t="shared" si="57"/>
        <v>192212</v>
      </c>
      <c r="L928" s="1541">
        <f t="shared" si="58"/>
        <v>191212</v>
      </c>
      <c r="M928" s="1541">
        <f t="shared" si="59"/>
        <v>1000</v>
      </c>
    </row>
    <row r="929" spans="1:13" x14ac:dyDescent="0.3">
      <c r="A929" s="1855" t="s">
        <v>2938</v>
      </c>
      <c r="B929" s="1462"/>
      <c r="C929" s="1456">
        <v>79690</v>
      </c>
      <c r="D929" s="1456">
        <v>78689.960000000006</v>
      </c>
      <c r="E929" s="1896">
        <v>1000.04</v>
      </c>
      <c r="J929" s="1541">
        <f t="shared" si="56"/>
        <v>0</v>
      </c>
      <c r="K929" s="1541">
        <f t="shared" si="57"/>
        <v>79690</v>
      </c>
      <c r="L929" s="1541">
        <f t="shared" si="58"/>
        <v>78689.960000000006</v>
      </c>
      <c r="M929" s="1541">
        <f t="shared" si="59"/>
        <v>1000.04</v>
      </c>
    </row>
    <row r="930" spans="1:13" x14ac:dyDescent="0.3">
      <c r="A930" s="1852" t="s">
        <v>3078</v>
      </c>
      <c r="B930" s="1462"/>
      <c r="C930" s="1456">
        <v>12012</v>
      </c>
      <c r="D930" s="1456">
        <v>10952</v>
      </c>
      <c r="E930" s="1896">
        <v>1060</v>
      </c>
      <c r="J930" s="1541">
        <f t="shared" ref="J930:J963" si="60">B930+F930</f>
        <v>0</v>
      </c>
      <c r="K930" s="1541">
        <f t="shared" ref="K930:K963" si="61">C930+G930</f>
        <v>12012</v>
      </c>
      <c r="L930" s="1541">
        <f t="shared" ref="L930:L963" si="62">D930+H930</f>
        <v>10952</v>
      </c>
      <c r="M930" s="1541">
        <f t="shared" ref="M930:M963" si="63">E930+I930</f>
        <v>1060</v>
      </c>
    </row>
    <row r="931" spans="1:13" x14ac:dyDescent="0.3">
      <c r="A931" s="1852" t="s">
        <v>2651</v>
      </c>
      <c r="B931" s="1462"/>
      <c r="C931" s="1456">
        <v>6140</v>
      </c>
      <c r="D931" s="1456">
        <v>5000</v>
      </c>
      <c r="E931" s="1896">
        <v>1140</v>
      </c>
      <c r="J931" s="1541">
        <f t="shared" si="60"/>
        <v>0</v>
      </c>
      <c r="K931" s="1541">
        <f t="shared" si="61"/>
        <v>6140</v>
      </c>
      <c r="L931" s="1541">
        <f t="shared" si="62"/>
        <v>5000</v>
      </c>
      <c r="M931" s="1541">
        <f t="shared" si="63"/>
        <v>1140</v>
      </c>
    </row>
    <row r="932" spans="1:13" x14ac:dyDescent="0.3">
      <c r="A932" s="1852" t="s">
        <v>2526</v>
      </c>
      <c r="B932" s="1462"/>
      <c r="C932" s="1456">
        <v>5314</v>
      </c>
      <c r="D932" s="1456">
        <v>3962</v>
      </c>
      <c r="E932" s="1896">
        <v>1352</v>
      </c>
      <c r="J932" s="1541">
        <f t="shared" si="60"/>
        <v>0</v>
      </c>
      <c r="K932" s="1541">
        <f t="shared" si="61"/>
        <v>5314</v>
      </c>
      <c r="L932" s="1541">
        <f t="shared" si="62"/>
        <v>3962</v>
      </c>
      <c r="M932" s="1541">
        <f t="shared" si="63"/>
        <v>1352</v>
      </c>
    </row>
    <row r="933" spans="1:13" x14ac:dyDescent="0.3">
      <c r="A933" s="1852" t="s">
        <v>2625</v>
      </c>
      <c r="B933" s="1462"/>
      <c r="C933" s="1456">
        <v>8380</v>
      </c>
      <c r="D933" s="1456">
        <v>6980</v>
      </c>
      <c r="E933" s="1896">
        <v>1400</v>
      </c>
      <c r="J933" s="1541">
        <f t="shared" si="60"/>
        <v>0</v>
      </c>
      <c r="K933" s="1541">
        <f t="shared" si="61"/>
        <v>8380</v>
      </c>
      <c r="L933" s="1541">
        <f t="shared" si="62"/>
        <v>6980</v>
      </c>
      <c r="M933" s="1541">
        <f t="shared" si="63"/>
        <v>1400</v>
      </c>
    </row>
    <row r="934" spans="1:13" x14ac:dyDescent="0.3">
      <c r="A934" s="1855" t="s">
        <v>2704</v>
      </c>
      <c r="B934" s="1462"/>
      <c r="C934" s="1456">
        <v>150568</v>
      </c>
      <c r="D934" s="1456">
        <v>149055</v>
      </c>
      <c r="E934" s="1896">
        <v>1513</v>
      </c>
      <c r="J934" s="1541">
        <f t="shared" si="60"/>
        <v>0</v>
      </c>
      <c r="K934" s="1541">
        <f t="shared" si="61"/>
        <v>150568</v>
      </c>
      <c r="L934" s="1541">
        <f t="shared" si="62"/>
        <v>149055</v>
      </c>
      <c r="M934" s="1541">
        <f t="shared" si="63"/>
        <v>1513</v>
      </c>
    </row>
    <row r="935" spans="1:13" x14ac:dyDescent="0.3">
      <c r="A935" s="1852" t="s">
        <v>2641</v>
      </c>
      <c r="B935" s="1462"/>
      <c r="C935" s="1456">
        <v>6650</v>
      </c>
      <c r="D935" s="1456">
        <v>4710</v>
      </c>
      <c r="E935" s="1896">
        <v>1940</v>
      </c>
      <c r="J935" s="1541">
        <f t="shared" si="60"/>
        <v>0</v>
      </c>
      <c r="K935" s="1541">
        <f t="shared" si="61"/>
        <v>6650</v>
      </c>
      <c r="L935" s="1541">
        <f t="shared" si="62"/>
        <v>4710</v>
      </c>
      <c r="M935" s="1541">
        <f t="shared" si="63"/>
        <v>1940</v>
      </c>
    </row>
    <row r="936" spans="1:13" x14ac:dyDescent="0.3">
      <c r="A936" s="1852" t="s">
        <v>3084</v>
      </c>
      <c r="B936" s="1462"/>
      <c r="C936" s="1456">
        <v>15490</v>
      </c>
      <c r="D936" s="1456">
        <v>13490</v>
      </c>
      <c r="E936" s="1896">
        <v>2000</v>
      </c>
      <c r="J936" s="1541">
        <f t="shared" si="60"/>
        <v>0</v>
      </c>
      <c r="K936" s="1541">
        <f t="shared" si="61"/>
        <v>15490</v>
      </c>
      <c r="L936" s="1541">
        <f t="shared" si="62"/>
        <v>13490</v>
      </c>
      <c r="M936" s="1541">
        <f t="shared" si="63"/>
        <v>2000</v>
      </c>
    </row>
    <row r="937" spans="1:13" x14ac:dyDescent="0.3">
      <c r="A937" s="1852" t="s">
        <v>3409</v>
      </c>
      <c r="B937" s="1462"/>
      <c r="C937" s="1456">
        <v>18610</v>
      </c>
      <c r="D937" s="1456">
        <v>16580</v>
      </c>
      <c r="E937" s="1896">
        <v>2030</v>
      </c>
      <c r="J937" s="1541">
        <f t="shared" si="60"/>
        <v>0</v>
      </c>
      <c r="K937" s="1541">
        <f t="shared" si="61"/>
        <v>18610</v>
      </c>
      <c r="L937" s="1541">
        <f t="shared" si="62"/>
        <v>16580</v>
      </c>
      <c r="M937" s="1541">
        <f t="shared" si="63"/>
        <v>2030</v>
      </c>
    </row>
    <row r="938" spans="1:13" x14ac:dyDescent="0.3">
      <c r="A938" s="1852" t="s">
        <v>2637</v>
      </c>
      <c r="B938" s="1462"/>
      <c r="C938" s="1456">
        <v>8648</v>
      </c>
      <c r="D938" s="1456">
        <v>6560</v>
      </c>
      <c r="E938" s="1896">
        <v>2088</v>
      </c>
      <c r="J938" s="1541">
        <f t="shared" si="60"/>
        <v>0</v>
      </c>
      <c r="K938" s="1541">
        <f t="shared" si="61"/>
        <v>8648</v>
      </c>
      <c r="L938" s="1541">
        <f t="shared" si="62"/>
        <v>6560</v>
      </c>
      <c r="M938" s="1541">
        <f t="shared" si="63"/>
        <v>2088</v>
      </c>
    </row>
    <row r="939" spans="1:13" x14ac:dyDescent="0.3">
      <c r="A939" s="1852" t="s">
        <v>2510</v>
      </c>
      <c r="B939" s="1462"/>
      <c r="C939" s="1456">
        <v>17320.009999999998</v>
      </c>
      <c r="D939" s="1456">
        <v>14260</v>
      </c>
      <c r="E939" s="1896">
        <v>3060.01</v>
      </c>
      <c r="J939" s="1541">
        <f t="shared" si="60"/>
        <v>0</v>
      </c>
      <c r="K939" s="1541">
        <f t="shared" si="61"/>
        <v>17320.009999999998</v>
      </c>
      <c r="L939" s="1541">
        <f t="shared" si="62"/>
        <v>14260</v>
      </c>
      <c r="M939" s="1541">
        <f t="shared" si="63"/>
        <v>3060.01</v>
      </c>
    </row>
    <row r="940" spans="1:13" x14ac:dyDescent="0.3">
      <c r="A940" s="1855" t="s">
        <v>3009</v>
      </c>
      <c r="B940" s="1462"/>
      <c r="C940" s="1456">
        <v>7268</v>
      </c>
      <c r="D940" s="1456">
        <v>4160</v>
      </c>
      <c r="E940" s="1896">
        <v>3108</v>
      </c>
      <c r="J940" s="1541">
        <f t="shared" si="60"/>
        <v>0</v>
      </c>
      <c r="K940" s="1541">
        <f t="shared" si="61"/>
        <v>7268</v>
      </c>
      <c r="L940" s="1541">
        <f t="shared" si="62"/>
        <v>4160</v>
      </c>
      <c r="M940" s="1541">
        <f t="shared" si="63"/>
        <v>3108</v>
      </c>
    </row>
    <row r="941" spans="1:13" x14ac:dyDescent="0.3">
      <c r="A941" s="1855" t="s">
        <v>3721</v>
      </c>
      <c r="B941" s="1468">
        <v>-10000</v>
      </c>
      <c r="C941" s="1459">
        <v>158368</v>
      </c>
      <c r="D941" s="1459">
        <v>144832</v>
      </c>
      <c r="E941" s="1894">
        <v>3536</v>
      </c>
      <c r="J941" s="1541">
        <f t="shared" si="60"/>
        <v>-10000</v>
      </c>
      <c r="K941" s="1541">
        <f t="shared" si="61"/>
        <v>158368</v>
      </c>
      <c r="L941" s="1541">
        <f t="shared" si="62"/>
        <v>144832</v>
      </c>
      <c r="M941" s="1541">
        <f t="shared" si="63"/>
        <v>3536</v>
      </c>
    </row>
    <row r="942" spans="1:13" x14ac:dyDescent="0.3">
      <c r="A942" s="1852" t="s">
        <v>3368</v>
      </c>
      <c r="B942" s="1462"/>
      <c r="C942" s="1456">
        <v>62318</v>
      </c>
      <c r="D942" s="1456">
        <v>58558</v>
      </c>
      <c r="E942" s="1896">
        <v>3760</v>
      </c>
      <c r="J942" s="1541">
        <f t="shared" si="60"/>
        <v>0</v>
      </c>
      <c r="K942" s="1541">
        <f t="shared" si="61"/>
        <v>62318</v>
      </c>
      <c r="L942" s="1541">
        <f t="shared" si="62"/>
        <v>58558</v>
      </c>
      <c r="M942" s="1541">
        <f t="shared" si="63"/>
        <v>3760</v>
      </c>
    </row>
    <row r="943" spans="1:13" x14ac:dyDescent="0.3">
      <c r="A943" s="1855" t="s">
        <v>2633</v>
      </c>
      <c r="B943" s="1462"/>
      <c r="C943" s="1456">
        <v>33100</v>
      </c>
      <c r="D943" s="1456">
        <v>29300</v>
      </c>
      <c r="E943" s="1896">
        <v>3800</v>
      </c>
      <c r="J943" s="1541">
        <f t="shared" si="60"/>
        <v>0</v>
      </c>
      <c r="K943" s="1541">
        <f t="shared" si="61"/>
        <v>33100</v>
      </c>
      <c r="L943" s="1541">
        <f t="shared" si="62"/>
        <v>29300</v>
      </c>
      <c r="M943" s="1541">
        <f t="shared" si="63"/>
        <v>3800</v>
      </c>
    </row>
    <row r="944" spans="1:13" x14ac:dyDescent="0.3">
      <c r="A944" s="1852" t="s">
        <v>3302</v>
      </c>
      <c r="B944" s="1462"/>
      <c r="C944" s="1456">
        <v>139574</v>
      </c>
      <c r="D944" s="1456">
        <v>135119</v>
      </c>
      <c r="E944" s="1896">
        <v>4455</v>
      </c>
      <c r="J944" s="1541">
        <f t="shared" si="60"/>
        <v>0</v>
      </c>
      <c r="K944" s="1541">
        <f t="shared" si="61"/>
        <v>139574</v>
      </c>
      <c r="L944" s="1541">
        <f t="shared" si="62"/>
        <v>135119</v>
      </c>
      <c r="M944" s="1541">
        <f t="shared" si="63"/>
        <v>4455</v>
      </c>
    </row>
    <row r="945" spans="1:13" x14ac:dyDescent="0.3">
      <c r="A945" s="1852" t="s">
        <v>3019</v>
      </c>
      <c r="B945" s="1462"/>
      <c r="C945" s="1456">
        <v>4800</v>
      </c>
      <c r="D945" s="1460"/>
      <c r="E945" s="1896">
        <v>4800</v>
      </c>
      <c r="J945" s="1541">
        <f t="shared" si="60"/>
        <v>0</v>
      </c>
      <c r="K945" s="1541">
        <f t="shared" si="61"/>
        <v>4800</v>
      </c>
      <c r="L945" s="1541">
        <f t="shared" si="62"/>
        <v>0</v>
      </c>
      <c r="M945" s="1541">
        <f t="shared" si="63"/>
        <v>4800</v>
      </c>
    </row>
    <row r="946" spans="1:13" x14ac:dyDescent="0.3">
      <c r="A946" s="1852" t="s">
        <v>3088</v>
      </c>
      <c r="B946" s="1462"/>
      <c r="C946" s="1456">
        <v>181541.05</v>
      </c>
      <c r="D946" s="1456">
        <v>176197.05</v>
      </c>
      <c r="E946" s="1896">
        <v>5344</v>
      </c>
      <c r="J946" s="1541">
        <f t="shared" si="60"/>
        <v>0</v>
      </c>
      <c r="K946" s="1541">
        <f t="shared" si="61"/>
        <v>181541.05</v>
      </c>
      <c r="L946" s="1541">
        <f t="shared" si="62"/>
        <v>176197.05</v>
      </c>
      <c r="M946" s="1541">
        <f t="shared" si="63"/>
        <v>5344</v>
      </c>
    </row>
    <row r="947" spans="1:13" x14ac:dyDescent="0.3">
      <c r="A947" s="1852" t="s">
        <v>2979</v>
      </c>
      <c r="B947" s="1462"/>
      <c r="C947" s="1456">
        <v>6000</v>
      </c>
      <c r="D947" s="1460"/>
      <c r="E947" s="1896">
        <v>6000</v>
      </c>
      <c r="J947" s="1541">
        <f t="shared" si="60"/>
        <v>0</v>
      </c>
      <c r="K947" s="1541">
        <f t="shared" si="61"/>
        <v>6000</v>
      </c>
      <c r="L947" s="1541">
        <f t="shared" si="62"/>
        <v>0</v>
      </c>
      <c r="M947" s="1541">
        <f t="shared" si="63"/>
        <v>6000</v>
      </c>
    </row>
    <row r="948" spans="1:13" x14ac:dyDescent="0.3">
      <c r="A948" s="1852" t="s">
        <v>2585</v>
      </c>
      <c r="B948" s="1462"/>
      <c r="C948" s="1456">
        <v>101995.02</v>
      </c>
      <c r="D948" s="1456">
        <v>95195</v>
      </c>
      <c r="E948" s="1896">
        <v>6800.02</v>
      </c>
      <c r="J948" s="1541">
        <f t="shared" si="60"/>
        <v>0</v>
      </c>
      <c r="K948" s="1541">
        <f t="shared" si="61"/>
        <v>101995.02</v>
      </c>
      <c r="L948" s="1541">
        <f t="shared" si="62"/>
        <v>95195</v>
      </c>
      <c r="M948" s="1541">
        <f t="shared" si="63"/>
        <v>6800.02</v>
      </c>
    </row>
    <row r="949" spans="1:13" x14ac:dyDescent="0.3">
      <c r="A949" s="1855" t="s">
        <v>3412</v>
      </c>
      <c r="B949" s="1462"/>
      <c r="C949" s="1456">
        <v>1115223</v>
      </c>
      <c r="D949" s="1456">
        <v>1106272</v>
      </c>
      <c r="E949" s="1896">
        <v>8951</v>
      </c>
      <c r="J949" s="1541">
        <f t="shared" si="60"/>
        <v>0</v>
      </c>
      <c r="K949" s="1541">
        <f t="shared" si="61"/>
        <v>1115223</v>
      </c>
      <c r="L949" s="1541">
        <f t="shared" si="62"/>
        <v>1106272</v>
      </c>
      <c r="M949" s="1541">
        <f t="shared" si="63"/>
        <v>8951</v>
      </c>
    </row>
    <row r="950" spans="1:13" x14ac:dyDescent="0.3">
      <c r="A950" s="1852" t="s">
        <v>2795</v>
      </c>
      <c r="B950" s="1462"/>
      <c r="C950" s="1456">
        <v>47330</v>
      </c>
      <c r="D950" s="1456">
        <v>35841.980000000003</v>
      </c>
      <c r="E950" s="1896">
        <v>11488.02</v>
      </c>
      <c r="J950" s="1541">
        <f t="shared" si="60"/>
        <v>0</v>
      </c>
      <c r="K950" s="1541">
        <f t="shared" si="61"/>
        <v>47330</v>
      </c>
      <c r="L950" s="1541">
        <f t="shared" si="62"/>
        <v>35841.980000000003</v>
      </c>
      <c r="M950" s="1541">
        <f t="shared" si="63"/>
        <v>11488.02</v>
      </c>
    </row>
    <row r="951" spans="1:13" x14ac:dyDescent="0.3">
      <c r="A951" s="1855" t="s">
        <v>3272</v>
      </c>
      <c r="B951" s="1462"/>
      <c r="C951" s="1456">
        <v>113626</v>
      </c>
      <c r="D951" s="1456">
        <v>100000</v>
      </c>
      <c r="E951" s="1896">
        <v>13626</v>
      </c>
      <c r="J951" s="1541">
        <f t="shared" si="60"/>
        <v>0</v>
      </c>
      <c r="K951" s="1541">
        <f t="shared" si="61"/>
        <v>113626</v>
      </c>
      <c r="L951" s="1541">
        <f t="shared" si="62"/>
        <v>100000</v>
      </c>
      <c r="M951" s="1541">
        <f t="shared" si="63"/>
        <v>13626</v>
      </c>
    </row>
    <row r="952" spans="1:13" x14ac:dyDescent="0.3">
      <c r="A952" s="1855" t="s">
        <v>3321</v>
      </c>
      <c r="B952" s="1462"/>
      <c r="C952" s="1456">
        <v>43400.02</v>
      </c>
      <c r="D952" s="1456">
        <v>29600</v>
      </c>
      <c r="E952" s="1896">
        <v>13800.02</v>
      </c>
      <c r="J952" s="1541">
        <f t="shared" si="60"/>
        <v>0</v>
      </c>
      <c r="K952" s="1541">
        <f t="shared" si="61"/>
        <v>43400.02</v>
      </c>
      <c r="L952" s="1541">
        <f t="shared" si="62"/>
        <v>29600</v>
      </c>
      <c r="M952" s="1541">
        <f t="shared" si="63"/>
        <v>13800.02</v>
      </c>
    </row>
    <row r="953" spans="1:13" x14ac:dyDescent="0.3">
      <c r="A953" s="1852" t="s">
        <v>3165</v>
      </c>
      <c r="B953" s="1462"/>
      <c r="C953" s="1456">
        <v>19135</v>
      </c>
      <c r="D953" s="1456">
        <v>3160</v>
      </c>
      <c r="E953" s="1896">
        <v>15975</v>
      </c>
      <c r="J953" s="1541">
        <f t="shared" si="60"/>
        <v>0</v>
      </c>
      <c r="K953" s="1541">
        <f t="shared" si="61"/>
        <v>19135</v>
      </c>
      <c r="L953" s="1541">
        <f t="shared" si="62"/>
        <v>3160</v>
      </c>
      <c r="M953" s="1541">
        <f t="shared" si="63"/>
        <v>15975</v>
      </c>
    </row>
    <row r="954" spans="1:13" x14ac:dyDescent="0.3">
      <c r="A954" s="1461" t="s">
        <v>2992</v>
      </c>
      <c r="B954" s="1462"/>
      <c r="C954" s="1456">
        <v>18975</v>
      </c>
      <c r="D954" s="1456">
        <v>599.89</v>
      </c>
      <c r="E954" s="1896">
        <v>18375.11</v>
      </c>
      <c r="J954" s="1541">
        <f t="shared" si="60"/>
        <v>0</v>
      </c>
      <c r="K954" s="1541">
        <f t="shared" si="61"/>
        <v>18975</v>
      </c>
      <c r="L954" s="1541">
        <f t="shared" si="62"/>
        <v>599.89</v>
      </c>
      <c r="M954" s="1541">
        <f t="shared" si="63"/>
        <v>18375.11</v>
      </c>
    </row>
    <row r="955" spans="1:13" x14ac:dyDescent="0.3">
      <c r="A955" s="1855" t="s">
        <v>3279</v>
      </c>
      <c r="B955" s="1462"/>
      <c r="C955" s="1456">
        <v>409701</v>
      </c>
      <c r="D955" s="1456">
        <v>391179</v>
      </c>
      <c r="E955" s="1896">
        <v>18522</v>
      </c>
      <c r="J955" s="1541">
        <f t="shared" si="60"/>
        <v>0</v>
      </c>
      <c r="K955" s="1541">
        <f t="shared" si="61"/>
        <v>409701</v>
      </c>
      <c r="L955" s="1541">
        <f t="shared" si="62"/>
        <v>391179</v>
      </c>
      <c r="M955" s="1541">
        <f t="shared" si="63"/>
        <v>18522</v>
      </c>
    </row>
    <row r="956" spans="1:13" x14ac:dyDescent="0.3">
      <c r="A956" s="1852" t="s">
        <v>3222</v>
      </c>
      <c r="B956" s="1462"/>
      <c r="C956" s="1456">
        <v>155760</v>
      </c>
      <c r="D956" s="1456">
        <v>129360</v>
      </c>
      <c r="E956" s="1896">
        <v>26400</v>
      </c>
      <c r="J956" s="1541">
        <f t="shared" si="60"/>
        <v>0</v>
      </c>
      <c r="K956" s="1541">
        <f t="shared" si="61"/>
        <v>155760</v>
      </c>
      <c r="L956" s="1541">
        <f t="shared" si="62"/>
        <v>129360</v>
      </c>
      <c r="M956" s="1541">
        <f t="shared" si="63"/>
        <v>26400</v>
      </c>
    </row>
    <row r="957" spans="1:13" x14ac:dyDescent="0.3">
      <c r="A957" s="1852" t="s">
        <v>3192</v>
      </c>
      <c r="B957" s="1462"/>
      <c r="C957" s="1456">
        <v>629179</v>
      </c>
      <c r="D957" s="1456">
        <v>601369</v>
      </c>
      <c r="E957" s="1896">
        <v>27810</v>
      </c>
      <c r="J957" s="1541">
        <f t="shared" si="60"/>
        <v>0</v>
      </c>
      <c r="K957" s="1541">
        <f t="shared" si="61"/>
        <v>629179</v>
      </c>
      <c r="L957" s="1541">
        <f t="shared" si="62"/>
        <v>601369</v>
      </c>
      <c r="M957" s="1541">
        <f t="shared" si="63"/>
        <v>27810</v>
      </c>
    </row>
    <row r="958" spans="1:13" x14ac:dyDescent="0.3">
      <c r="A958" s="1855" t="s">
        <v>2565</v>
      </c>
      <c r="B958" s="1462"/>
      <c r="C958" s="1456">
        <v>72699</v>
      </c>
      <c r="D958" s="1456">
        <v>33973</v>
      </c>
      <c r="E958" s="1896">
        <v>38726</v>
      </c>
      <c r="J958" s="1541">
        <f t="shared" si="60"/>
        <v>0</v>
      </c>
      <c r="K958" s="1541">
        <f t="shared" si="61"/>
        <v>72699</v>
      </c>
      <c r="L958" s="1541">
        <f t="shared" si="62"/>
        <v>33973</v>
      </c>
      <c r="M958" s="1541">
        <f t="shared" si="63"/>
        <v>38726</v>
      </c>
    </row>
    <row r="959" spans="1:13" x14ac:dyDescent="0.3">
      <c r="A959" s="1852" t="s">
        <v>3440</v>
      </c>
      <c r="B959" s="1462"/>
      <c r="C959" s="1456">
        <v>497796.64</v>
      </c>
      <c r="D959" s="1456">
        <v>457750</v>
      </c>
      <c r="E959" s="1896">
        <v>40046.639999999999</v>
      </c>
      <c r="J959" s="1541">
        <f t="shared" si="60"/>
        <v>0</v>
      </c>
      <c r="K959" s="1541">
        <f t="shared" si="61"/>
        <v>497796.64</v>
      </c>
      <c r="L959" s="1541">
        <f t="shared" si="62"/>
        <v>457750</v>
      </c>
      <c r="M959" s="1541">
        <f t="shared" si="63"/>
        <v>40046.639999999999</v>
      </c>
    </row>
    <row r="960" spans="1:13" x14ac:dyDescent="0.3">
      <c r="A960" s="1879" t="s">
        <v>3722</v>
      </c>
      <c r="B960" s="1894">
        <v>307042.94</v>
      </c>
      <c r="C960" s="1462"/>
      <c r="D960" s="1462"/>
      <c r="E960" s="1894">
        <v>307042.94</v>
      </c>
      <c r="J960" s="1541">
        <f t="shared" si="60"/>
        <v>307042.94</v>
      </c>
      <c r="K960" s="1541">
        <f t="shared" si="61"/>
        <v>0</v>
      </c>
      <c r="L960" s="1541">
        <f t="shared" si="62"/>
        <v>0</v>
      </c>
      <c r="M960" s="1541">
        <f t="shared" si="63"/>
        <v>307042.94</v>
      </c>
    </row>
    <row r="961" spans="1:13" x14ac:dyDescent="0.3">
      <c r="A961" s="1855" t="s">
        <v>3437</v>
      </c>
      <c r="B961" s="1462"/>
      <c r="C961" s="1456">
        <v>2196882</v>
      </c>
      <c r="D961" s="1456">
        <v>1461476</v>
      </c>
      <c r="E961" s="1896">
        <v>735406</v>
      </c>
      <c r="J961" s="1541">
        <f t="shared" si="60"/>
        <v>0</v>
      </c>
      <c r="K961" s="1541">
        <f t="shared" si="61"/>
        <v>2196882</v>
      </c>
      <c r="L961" s="1541">
        <f t="shared" si="62"/>
        <v>1461476</v>
      </c>
      <c r="M961" s="1541">
        <f t="shared" si="63"/>
        <v>735406</v>
      </c>
    </row>
    <row r="962" spans="1:13" x14ac:dyDescent="0.3">
      <c r="A962" s="1879" t="s">
        <v>3723</v>
      </c>
      <c r="B962" s="1894">
        <v>772487</v>
      </c>
      <c r="C962" s="1462"/>
      <c r="D962" s="1459">
        <v>3987.2</v>
      </c>
      <c r="E962" s="1894">
        <v>768499.8</v>
      </c>
      <c r="J962" s="1541">
        <f t="shared" si="60"/>
        <v>772487</v>
      </c>
      <c r="K962" s="1541">
        <f t="shared" si="61"/>
        <v>0</v>
      </c>
      <c r="L962" s="1541">
        <f t="shared" si="62"/>
        <v>3987.2</v>
      </c>
      <c r="M962" s="1541">
        <f t="shared" si="63"/>
        <v>768499.8</v>
      </c>
    </row>
    <row r="963" spans="1:13" x14ac:dyDescent="0.3">
      <c r="A963" s="1878" t="s">
        <v>3724</v>
      </c>
      <c r="B963" s="1894">
        <v>3250583</v>
      </c>
      <c r="C963" s="1462"/>
      <c r="D963" s="1462"/>
      <c r="E963" s="1894">
        <v>3250583</v>
      </c>
      <c r="J963" s="1541">
        <f t="shared" si="60"/>
        <v>3250583</v>
      </c>
      <c r="K963" s="1541">
        <f t="shared" si="61"/>
        <v>0</v>
      </c>
      <c r="L963" s="1541">
        <f t="shared" si="62"/>
        <v>0</v>
      </c>
      <c r="M963" s="1541">
        <f t="shared" si="63"/>
        <v>3250583</v>
      </c>
    </row>
    <row r="965" spans="1:13" x14ac:dyDescent="0.3">
      <c r="M965" s="1541">
        <f>SUM(M34:M964)</f>
        <v>7827895.139999995</v>
      </c>
    </row>
    <row r="967" spans="1:13" x14ac:dyDescent="0.3">
      <c r="M967" s="1541">
        <f>M30</f>
        <v>-1336431.8999999997</v>
      </c>
    </row>
  </sheetData>
  <mergeCells count="3">
    <mergeCell ref="B1:E1"/>
    <mergeCell ref="F1:I1"/>
    <mergeCell ref="J1:M1"/>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workbookViewId="0">
      <selection activeCell="A37" sqref="A3:B37"/>
    </sheetView>
  </sheetViews>
  <sheetFormatPr defaultRowHeight="14.4" x14ac:dyDescent="0.3"/>
  <cols>
    <col min="1" max="1" width="53" bestFit="1" customWidth="1"/>
    <col min="2" max="2" width="13.33203125" bestFit="1" customWidth="1"/>
    <col min="3" max="3" width="10.5546875" bestFit="1" customWidth="1"/>
  </cols>
  <sheetData>
    <row r="1" spans="1:3" x14ac:dyDescent="0.3">
      <c r="B1" s="178">
        <v>3600000</v>
      </c>
    </row>
    <row r="2" spans="1:3" x14ac:dyDescent="0.3">
      <c r="B2" s="89">
        <f>SUM(B3:B36)</f>
        <v>812402</v>
      </c>
      <c r="C2" s="89">
        <f>B1-B2</f>
        <v>2787598</v>
      </c>
    </row>
    <row r="3" spans="1:3" x14ac:dyDescent="0.3">
      <c r="A3" t="s">
        <v>239</v>
      </c>
      <c r="B3" s="203">
        <v>33122</v>
      </c>
      <c r="C3">
        <f>C2/100000</f>
        <v>27.875979999999998</v>
      </c>
    </row>
    <row r="4" spans="1:3" x14ac:dyDescent="0.3">
      <c r="A4" t="s">
        <v>89</v>
      </c>
      <c r="B4" s="203">
        <v>7744</v>
      </c>
    </row>
    <row r="5" spans="1:3" x14ac:dyDescent="0.3">
      <c r="A5" t="s">
        <v>102</v>
      </c>
      <c r="B5" s="203">
        <v>9</v>
      </c>
    </row>
    <row r="6" spans="1:3" x14ac:dyDescent="0.3">
      <c r="A6" t="s">
        <v>115</v>
      </c>
      <c r="B6" s="203">
        <v>46645</v>
      </c>
    </row>
    <row r="7" spans="1:3" x14ac:dyDescent="0.3">
      <c r="A7" t="s">
        <v>60</v>
      </c>
      <c r="B7" s="203">
        <v>1</v>
      </c>
    </row>
    <row r="8" spans="1:3" x14ac:dyDescent="0.3">
      <c r="A8" t="s">
        <v>86</v>
      </c>
      <c r="B8" s="203">
        <v>121</v>
      </c>
    </row>
    <row r="9" spans="1:3" x14ac:dyDescent="0.3">
      <c r="A9" t="s">
        <v>332</v>
      </c>
      <c r="B9" s="203">
        <v>1</v>
      </c>
    </row>
    <row r="10" spans="1:3" x14ac:dyDescent="0.3">
      <c r="A10" t="s">
        <v>502</v>
      </c>
      <c r="B10" s="203">
        <v>44</v>
      </c>
    </row>
    <row r="11" spans="1:3" x14ac:dyDescent="0.3">
      <c r="A11" t="s">
        <v>98</v>
      </c>
      <c r="B11" s="203">
        <v>5</v>
      </c>
    </row>
    <row r="12" spans="1:3" x14ac:dyDescent="0.3">
      <c r="A12" t="s">
        <v>74</v>
      </c>
      <c r="B12" s="203">
        <v>3087</v>
      </c>
    </row>
    <row r="13" spans="1:3" x14ac:dyDescent="0.3">
      <c r="A13" t="s">
        <v>334</v>
      </c>
      <c r="B13" s="203">
        <v>1501</v>
      </c>
    </row>
    <row r="14" spans="1:3" x14ac:dyDescent="0.3">
      <c r="A14" t="s">
        <v>15</v>
      </c>
      <c r="B14" s="203">
        <v>125</v>
      </c>
    </row>
    <row r="15" spans="1:3" x14ac:dyDescent="0.3">
      <c r="A15" t="s">
        <v>40</v>
      </c>
      <c r="B15" s="203">
        <v>5612</v>
      </c>
    </row>
    <row r="16" spans="1:3" x14ac:dyDescent="0.3">
      <c r="A16" t="s">
        <v>80</v>
      </c>
      <c r="B16" s="203">
        <v>490</v>
      </c>
    </row>
    <row r="17" spans="1:2" x14ac:dyDescent="0.3">
      <c r="A17" t="s">
        <v>52</v>
      </c>
      <c r="B17" s="203">
        <v>6824</v>
      </c>
    </row>
    <row r="18" spans="1:2" x14ac:dyDescent="0.3">
      <c r="A18" t="s">
        <v>128</v>
      </c>
      <c r="B18" s="203">
        <v>11679</v>
      </c>
    </row>
    <row r="19" spans="1:2" x14ac:dyDescent="0.3">
      <c r="A19" t="s">
        <v>131</v>
      </c>
      <c r="B19" s="203">
        <v>854</v>
      </c>
    </row>
    <row r="20" spans="1:2" x14ac:dyDescent="0.3">
      <c r="A20" t="s">
        <v>95</v>
      </c>
      <c r="B20" s="203">
        <v>122479</v>
      </c>
    </row>
    <row r="21" spans="1:2" x14ac:dyDescent="0.3">
      <c r="A21" t="s">
        <v>27</v>
      </c>
      <c r="B21" s="203">
        <v>95403</v>
      </c>
    </row>
    <row r="22" spans="1:2" x14ac:dyDescent="0.3">
      <c r="A22" t="s">
        <v>36</v>
      </c>
      <c r="B22" s="203">
        <v>5545</v>
      </c>
    </row>
    <row r="23" spans="1:2" x14ac:dyDescent="0.3">
      <c r="A23" t="s">
        <v>29</v>
      </c>
      <c r="B23" s="203">
        <v>455</v>
      </c>
    </row>
    <row r="24" spans="1:2" x14ac:dyDescent="0.3">
      <c r="A24" t="s">
        <v>83</v>
      </c>
      <c r="B24" s="203">
        <v>100</v>
      </c>
    </row>
    <row r="25" spans="1:2" x14ac:dyDescent="0.3">
      <c r="A25" t="s">
        <v>85</v>
      </c>
      <c r="B25" s="203">
        <v>4346</v>
      </c>
    </row>
    <row r="26" spans="1:2" x14ac:dyDescent="0.3">
      <c r="A26" t="s">
        <v>492</v>
      </c>
      <c r="B26" s="203">
        <v>550</v>
      </c>
    </row>
    <row r="27" spans="1:2" x14ac:dyDescent="0.3">
      <c r="A27" t="s">
        <v>94</v>
      </c>
      <c r="B27" s="203">
        <v>6787</v>
      </c>
    </row>
    <row r="28" spans="1:2" x14ac:dyDescent="0.3">
      <c r="A28" t="s">
        <v>498</v>
      </c>
      <c r="B28" s="203">
        <v>154949</v>
      </c>
    </row>
    <row r="29" spans="1:2" x14ac:dyDescent="0.3">
      <c r="A29" t="s">
        <v>499</v>
      </c>
      <c r="B29" s="203">
        <v>3325</v>
      </c>
    </row>
    <row r="30" spans="1:2" x14ac:dyDescent="0.3">
      <c r="A30" t="s">
        <v>503</v>
      </c>
      <c r="B30" s="203">
        <v>9900</v>
      </c>
    </row>
    <row r="31" spans="1:2" x14ac:dyDescent="0.3">
      <c r="A31" t="s">
        <v>127</v>
      </c>
      <c r="B31" s="203">
        <v>1964</v>
      </c>
    </row>
    <row r="32" spans="1:2" x14ac:dyDescent="0.3">
      <c r="A32" t="s">
        <v>125</v>
      </c>
      <c r="B32" s="203">
        <v>10216</v>
      </c>
    </row>
    <row r="33" spans="1:2" x14ac:dyDescent="0.3">
      <c r="A33" t="s">
        <v>48</v>
      </c>
      <c r="B33" s="203">
        <v>2104</v>
      </c>
    </row>
    <row r="34" spans="1:2" x14ac:dyDescent="0.3">
      <c r="A34" t="s">
        <v>77</v>
      </c>
      <c r="B34" s="20">
        <v>136353</v>
      </c>
    </row>
    <row r="35" spans="1:2" x14ac:dyDescent="0.3">
      <c r="A35" t="s">
        <v>119</v>
      </c>
      <c r="B35" s="20">
        <v>95827</v>
      </c>
    </row>
    <row r="36" spans="1:2" x14ac:dyDescent="0.3">
      <c r="A36" t="s">
        <v>16</v>
      </c>
      <c r="B36" s="20">
        <v>44235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80"/>
  <sheetViews>
    <sheetView tabSelected="1" view="pageBreakPreview" zoomScale="63" zoomScaleNormal="100" zoomScaleSheetLayoutView="63" workbookViewId="0">
      <selection activeCell="G261" sqref="G261"/>
    </sheetView>
  </sheetViews>
  <sheetFormatPr defaultColWidth="9.109375" defaultRowHeight="15.6" x14ac:dyDescent="0.3"/>
  <cols>
    <col min="1" max="1" width="6.88671875" style="297" customWidth="1"/>
    <col min="2" max="2" width="7.109375" style="297" customWidth="1"/>
    <col min="3" max="3" width="66.6640625" style="297" customWidth="1"/>
    <col min="4" max="4" width="18.6640625" style="297" customWidth="1"/>
    <col min="5" max="5" width="26" style="297" bestFit="1" customWidth="1"/>
    <col min="6" max="6" width="18.5546875" style="297" customWidth="1"/>
    <col min="7" max="7" width="19.109375" style="297" customWidth="1"/>
    <col min="8" max="8" width="21.5546875" style="297" hidden="1" customWidth="1"/>
    <col min="9" max="9" width="44" style="297" bestFit="1" customWidth="1"/>
    <col min="10" max="10" width="16.44140625" style="297" bestFit="1" customWidth="1"/>
    <col min="11" max="11" width="16.109375" style="297" bestFit="1" customWidth="1"/>
    <col min="12" max="12" width="12.44140625" style="297" bestFit="1" customWidth="1"/>
    <col min="13" max="16384" width="9.109375" style="297"/>
  </cols>
  <sheetData>
    <row r="1" spans="2:12" ht="16.2" thickBot="1" x14ac:dyDescent="0.35"/>
    <row r="2" spans="2:12" x14ac:dyDescent="0.3">
      <c r="B2" s="1920" t="s">
        <v>2146</v>
      </c>
      <c r="C2" s="1921"/>
      <c r="D2" s="1921"/>
      <c r="E2" s="1921"/>
      <c r="F2" s="1922"/>
      <c r="G2" s="287"/>
      <c r="H2" s="287"/>
    </row>
    <row r="3" spans="2:12" x14ac:dyDescent="0.3">
      <c r="B3" s="1923" t="s">
        <v>2147</v>
      </c>
      <c r="C3" s="1924"/>
      <c r="D3" s="1924"/>
      <c r="E3" s="1924"/>
      <c r="F3" s="1925"/>
      <c r="G3" s="287"/>
      <c r="H3" s="287"/>
    </row>
    <row r="4" spans="2:12" x14ac:dyDescent="0.3">
      <c r="B4" s="1926" t="s">
        <v>2255</v>
      </c>
      <c r="C4" s="1927"/>
      <c r="D4" s="1927"/>
      <c r="E4" s="1927"/>
      <c r="F4" s="1928"/>
      <c r="G4" s="287"/>
      <c r="H4" s="287"/>
    </row>
    <row r="5" spans="2:12" x14ac:dyDescent="0.3">
      <c r="B5" s="1929" t="s">
        <v>2424</v>
      </c>
      <c r="C5" s="1930"/>
      <c r="D5" s="1930"/>
      <c r="E5" s="1930"/>
      <c r="F5" s="1931"/>
      <c r="G5" s="287"/>
      <c r="H5" s="287"/>
    </row>
    <row r="6" spans="2:12" x14ac:dyDescent="0.3">
      <c r="B6" s="1933"/>
      <c r="C6" s="1934"/>
      <c r="D6" s="1934"/>
      <c r="E6" s="1934"/>
      <c r="F6" s="1935"/>
      <c r="G6" s="849"/>
      <c r="H6" s="1656"/>
    </row>
    <row r="7" spans="2:12" ht="31.2" x14ac:dyDescent="0.3">
      <c r="B7" s="950"/>
      <c r="C7" s="884" t="s">
        <v>215</v>
      </c>
      <c r="D7" s="282" t="s">
        <v>342</v>
      </c>
      <c r="E7" s="1821" t="s">
        <v>2425</v>
      </c>
      <c r="F7" s="1822" t="s">
        <v>2370</v>
      </c>
      <c r="G7" s="1823"/>
      <c r="H7" s="1824"/>
    </row>
    <row r="8" spans="2:12" x14ac:dyDescent="0.3">
      <c r="B8" s="1664" t="s">
        <v>344</v>
      </c>
      <c r="C8" s="287" t="s">
        <v>247</v>
      </c>
      <c r="D8" s="1032"/>
      <c r="E8" s="286"/>
      <c r="F8" s="1665"/>
      <c r="G8" s="849"/>
      <c r="H8" s="1657"/>
      <c r="L8" s="1825"/>
    </row>
    <row r="9" spans="2:12" x14ac:dyDescent="0.3">
      <c r="B9" s="1666">
        <v>1</v>
      </c>
      <c r="C9" s="287" t="s">
        <v>248</v>
      </c>
      <c r="D9" s="285"/>
      <c r="E9" s="286"/>
      <c r="F9" s="1665"/>
      <c r="G9" s="849"/>
      <c r="H9" s="1657"/>
    </row>
    <row r="10" spans="2:12" x14ac:dyDescent="0.3">
      <c r="B10" s="1666"/>
      <c r="C10" s="1034" t="s">
        <v>2027</v>
      </c>
      <c r="D10" s="285">
        <v>3</v>
      </c>
      <c r="E10" s="286">
        <v>0</v>
      </c>
      <c r="F10" s="1665">
        <v>0</v>
      </c>
      <c r="G10" s="849"/>
      <c r="H10" s="849"/>
      <c r="K10" s="1658"/>
    </row>
    <row r="11" spans="2:12" x14ac:dyDescent="0.3">
      <c r="B11" s="1666"/>
      <c r="C11" s="1034" t="s">
        <v>2028</v>
      </c>
      <c r="D11" s="285"/>
      <c r="E11" s="286">
        <v>0</v>
      </c>
      <c r="F11" s="1665">
        <v>0</v>
      </c>
      <c r="G11" s="849"/>
      <c r="H11" s="849"/>
      <c r="K11" s="1658"/>
    </row>
    <row r="12" spans="2:12" x14ac:dyDescent="0.3">
      <c r="B12" s="1666"/>
      <c r="C12" s="1034" t="s">
        <v>2029</v>
      </c>
      <c r="D12" s="285"/>
      <c r="E12" s="286">
        <f>'Capital expenses and normal'!R50+'Trial Balance'!R262-134012</f>
        <v>191872075.91000003</v>
      </c>
      <c r="F12" s="1665">
        <v>0</v>
      </c>
      <c r="G12" s="849"/>
      <c r="H12" s="1659"/>
    </row>
    <row r="13" spans="2:12" x14ac:dyDescent="0.3">
      <c r="B13" s="1666"/>
      <c r="C13" s="1034" t="s">
        <v>2030</v>
      </c>
      <c r="D13" s="285"/>
      <c r="E13" s="286">
        <v>0</v>
      </c>
      <c r="F13" s="1665">
        <v>0</v>
      </c>
      <c r="G13" s="849"/>
      <c r="H13" s="1659"/>
    </row>
    <row r="14" spans="2:12" x14ac:dyDescent="0.3">
      <c r="B14" s="1666"/>
      <c r="C14" s="1034" t="s">
        <v>2031</v>
      </c>
      <c r="D14" s="285"/>
      <c r="E14" s="286">
        <v>0</v>
      </c>
      <c r="F14" s="1665">
        <v>0</v>
      </c>
      <c r="G14" s="849"/>
      <c r="H14" s="1659"/>
    </row>
    <row r="15" spans="2:12" x14ac:dyDescent="0.3">
      <c r="B15" s="1666"/>
      <c r="C15" s="1034" t="s">
        <v>2032</v>
      </c>
      <c r="D15" s="285"/>
      <c r="E15" s="286">
        <v>0</v>
      </c>
      <c r="F15" s="1665">
        <v>0</v>
      </c>
      <c r="G15" s="849"/>
      <c r="H15" s="1659"/>
    </row>
    <row r="16" spans="2:12" x14ac:dyDescent="0.3">
      <c r="B16" s="1666"/>
      <c r="C16" s="1034" t="s">
        <v>2033</v>
      </c>
      <c r="D16" s="285"/>
      <c r="E16" s="286">
        <v>0</v>
      </c>
      <c r="F16" s="1665">
        <v>0</v>
      </c>
      <c r="G16" s="849"/>
      <c r="H16" s="1659"/>
    </row>
    <row r="17" spans="2:10" x14ac:dyDescent="0.3">
      <c r="B17" s="1666"/>
      <c r="C17" s="1034" t="s">
        <v>2034</v>
      </c>
      <c r="D17" s="285"/>
      <c r="E17" s="286">
        <v>0</v>
      </c>
      <c r="F17" s="1665">
        <v>0</v>
      </c>
      <c r="G17" s="849"/>
      <c r="H17" s="1659"/>
    </row>
    <row r="18" spans="2:10" x14ac:dyDescent="0.3">
      <c r="B18" s="1666"/>
      <c r="C18" s="1034" t="s">
        <v>2035</v>
      </c>
      <c r="D18" s="285"/>
      <c r="E18" s="286">
        <v>0</v>
      </c>
      <c r="F18" s="1665">
        <v>0</v>
      </c>
      <c r="G18" s="849"/>
      <c r="H18" s="1659"/>
    </row>
    <row r="19" spans="2:10" x14ac:dyDescent="0.3">
      <c r="B19" s="1666"/>
      <c r="C19" s="1035" t="s">
        <v>2036</v>
      </c>
      <c r="D19" s="285">
        <v>4</v>
      </c>
      <c r="E19" s="286">
        <f>Sch!D14</f>
        <v>0</v>
      </c>
      <c r="F19" s="1665">
        <v>0</v>
      </c>
      <c r="G19" s="849"/>
      <c r="H19" s="849"/>
    </row>
    <row r="20" spans="2:10" x14ac:dyDescent="0.3">
      <c r="B20" s="1666"/>
      <c r="C20" s="1035" t="s">
        <v>2037</v>
      </c>
      <c r="D20" s="285">
        <v>5</v>
      </c>
      <c r="E20" s="286">
        <f>Sch!D35</f>
        <v>0</v>
      </c>
      <c r="F20" s="1665">
        <v>0</v>
      </c>
      <c r="G20" s="849"/>
      <c r="H20" s="849"/>
    </row>
    <row r="21" spans="2:10" x14ac:dyDescent="0.3">
      <c r="B21" s="1666"/>
      <c r="C21" s="1035" t="s">
        <v>2038</v>
      </c>
      <c r="D21" s="285">
        <v>6</v>
      </c>
      <c r="E21" s="286">
        <f>Sch!D57</f>
        <v>104626.64</v>
      </c>
      <c r="F21" s="1665">
        <v>104626.64</v>
      </c>
      <c r="G21" s="849"/>
      <c r="H21" s="849"/>
      <c r="I21" s="301"/>
      <c r="J21" s="301"/>
    </row>
    <row r="22" spans="2:10" x14ac:dyDescent="0.3">
      <c r="B22" s="1666"/>
      <c r="C22" s="1034" t="s">
        <v>2039</v>
      </c>
      <c r="D22" s="285">
        <v>7</v>
      </c>
      <c r="E22" s="286">
        <f>Sch!D139</f>
        <v>0</v>
      </c>
      <c r="F22" s="1665">
        <v>0</v>
      </c>
      <c r="G22" s="849"/>
      <c r="H22" s="849"/>
      <c r="J22" s="301"/>
    </row>
    <row r="23" spans="2:10" x14ac:dyDescent="0.3">
      <c r="B23" s="2096"/>
      <c r="C23" s="2097" t="s">
        <v>2040</v>
      </c>
      <c r="D23" s="2098">
        <v>8</v>
      </c>
      <c r="E23" s="286">
        <f>Sch!D151</f>
        <v>111772453.63000001</v>
      </c>
      <c r="F23" s="1665">
        <v>9905078.7699999996</v>
      </c>
      <c r="G23" s="849"/>
      <c r="H23" s="849"/>
      <c r="J23" s="301"/>
    </row>
    <row r="24" spans="2:10" x14ac:dyDescent="0.3">
      <c r="B24" s="2096"/>
      <c r="C24" s="2099"/>
      <c r="D24" s="2098"/>
      <c r="E24" s="286"/>
      <c r="F24" s="1665"/>
      <c r="G24" s="849"/>
      <c r="H24" s="1657"/>
      <c r="J24" s="301"/>
    </row>
    <row r="25" spans="2:10" x14ac:dyDescent="0.3">
      <c r="B25" s="2096"/>
      <c r="C25" s="2100" t="s">
        <v>345</v>
      </c>
      <c r="D25" s="2101"/>
      <c r="E25" s="1033">
        <f>SUM(E10:E23)</f>
        <v>303749156.18000001</v>
      </c>
      <c r="F25" s="1667">
        <v>10009705.41</v>
      </c>
      <c r="G25" s="1660"/>
      <c r="H25" s="1661"/>
      <c r="J25" s="301"/>
    </row>
    <row r="26" spans="2:10" x14ac:dyDescent="0.3">
      <c r="B26" s="2096">
        <v>2</v>
      </c>
      <c r="C26" s="2102" t="s">
        <v>250</v>
      </c>
      <c r="D26" s="2098"/>
      <c r="E26" s="1187"/>
      <c r="F26" s="1668"/>
      <c r="G26" s="849"/>
      <c r="H26" s="1657"/>
      <c r="J26" s="301"/>
    </row>
    <row r="27" spans="2:10" x14ac:dyDescent="0.3">
      <c r="B27" s="2096"/>
      <c r="C27" s="2097" t="s">
        <v>2041</v>
      </c>
      <c r="D27" s="2098">
        <v>9</v>
      </c>
      <c r="E27" s="1665">
        <f>Sch!D158</f>
        <v>8848423</v>
      </c>
      <c r="F27" s="1665">
        <v>0</v>
      </c>
      <c r="G27" s="849"/>
      <c r="H27" s="849"/>
      <c r="I27" s="301"/>
      <c r="J27" s="301"/>
    </row>
    <row r="28" spans="2:10" x14ac:dyDescent="0.3">
      <c r="B28" s="2096"/>
      <c r="C28" s="2097" t="s">
        <v>2042</v>
      </c>
      <c r="D28" s="2098"/>
      <c r="E28" s="286"/>
      <c r="F28" s="1665"/>
      <c r="G28" s="849"/>
      <c r="H28" s="1659"/>
      <c r="J28" s="301"/>
    </row>
    <row r="29" spans="2:10" x14ac:dyDescent="0.3">
      <c r="B29" s="2096"/>
      <c r="C29" s="2103" t="s">
        <v>2036</v>
      </c>
      <c r="D29" s="2098">
        <v>4</v>
      </c>
      <c r="E29" s="286">
        <f>Sch!D21</f>
        <v>0</v>
      </c>
      <c r="F29" s="1665">
        <v>0</v>
      </c>
      <c r="G29" s="849"/>
      <c r="H29" s="849"/>
      <c r="J29" s="301"/>
    </row>
    <row r="30" spans="2:10" x14ac:dyDescent="0.3">
      <c r="B30" s="2096"/>
      <c r="C30" s="2103" t="s">
        <v>2037</v>
      </c>
      <c r="D30" s="2098">
        <v>5</v>
      </c>
      <c r="E30" s="286">
        <f>Sch!D47</f>
        <v>7827895.139999995</v>
      </c>
      <c r="F30" s="1665">
        <v>5391456.3099999996</v>
      </c>
      <c r="G30" s="849"/>
      <c r="H30" s="849"/>
      <c r="I30" s="301"/>
      <c r="J30" s="301"/>
    </row>
    <row r="31" spans="2:10" x14ac:dyDescent="0.3">
      <c r="B31" s="2096"/>
      <c r="C31" s="2103" t="s">
        <v>2043</v>
      </c>
      <c r="D31" s="2098">
        <v>10</v>
      </c>
      <c r="E31" s="286">
        <f>Sch!D178</f>
        <v>252169.08</v>
      </c>
      <c r="F31" s="1665">
        <v>73613.05</v>
      </c>
      <c r="G31" s="849"/>
      <c r="H31" s="849"/>
      <c r="J31" s="301"/>
    </row>
    <row r="32" spans="2:10" x14ac:dyDescent="0.3">
      <c r="B32" s="2096"/>
      <c r="C32" s="2103" t="s">
        <v>2044</v>
      </c>
      <c r="D32" s="2098"/>
      <c r="E32" s="286">
        <v>0</v>
      </c>
      <c r="F32" s="1665">
        <v>0</v>
      </c>
      <c r="G32" s="849"/>
      <c r="H32" s="849"/>
      <c r="J32" s="301"/>
    </row>
    <row r="33" spans="2:10" x14ac:dyDescent="0.3">
      <c r="B33" s="2096"/>
      <c r="C33" s="2097" t="s">
        <v>2045</v>
      </c>
      <c r="D33" s="2098">
        <v>7</v>
      </c>
      <c r="E33" s="286">
        <f>Sch!D139</f>
        <v>0</v>
      </c>
      <c r="F33" s="1665">
        <v>0</v>
      </c>
      <c r="G33" s="849"/>
      <c r="H33" s="849"/>
      <c r="J33" s="301"/>
    </row>
    <row r="34" spans="2:10" x14ac:dyDescent="0.3">
      <c r="B34" s="2096"/>
      <c r="C34" s="2097" t="s">
        <v>2046</v>
      </c>
      <c r="D34" s="2098">
        <v>11</v>
      </c>
      <c r="E34" s="286">
        <f>Sch!D206</f>
        <v>38408659.609999999</v>
      </c>
      <c r="F34" s="1665">
        <v>5475538.9299999997</v>
      </c>
      <c r="G34" s="849"/>
      <c r="H34" s="849"/>
      <c r="I34" s="301"/>
      <c r="J34" s="301"/>
    </row>
    <row r="35" spans="2:10" x14ac:dyDescent="0.3">
      <c r="B35" s="2096"/>
      <c r="C35" s="2104" t="s">
        <v>346</v>
      </c>
      <c r="D35" s="2101"/>
      <c r="E35" s="1033">
        <f>SUM(E27:E34)</f>
        <v>55337146.829999998</v>
      </c>
      <c r="F35" s="1667">
        <v>10940608.289999999</v>
      </c>
      <c r="G35" s="1660"/>
      <c r="H35" s="1660"/>
      <c r="J35" s="301"/>
    </row>
    <row r="36" spans="2:10" x14ac:dyDescent="0.3">
      <c r="B36" s="2096"/>
      <c r="C36" s="2105" t="s">
        <v>2048</v>
      </c>
      <c r="D36" s="2098">
        <v>11.1</v>
      </c>
      <c r="E36" s="286">
        <f>Sch!D213</f>
        <v>0</v>
      </c>
      <c r="F36" s="1665">
        <v>0</v>
      </c>
      <c r="G36" s="849"/>
      <c r="H36" s="849"/>
      <c r="J36" s="301"/>
    </row>
    <row r="37" spans="2:10" ht="16.2" thickBot="1" x14ac:dyDescent="0.35">
      <c r="B37" s="2096"/>
      <c r="C37" s="2102" t="s">
        <v>2047</v>
      </c>
      <c r="D37" s="2101"/>
      <c r="E37" s="294">
        <f>E25+E35+E36</f>
        <v>359086303.00999999</v>
      </c>
      <c r="F37" s="1669">
        <v>20950313.699999999</v>
      </c>
      <c r="G37" s="1662"/>
      <c r="H37" s="1662"/>
      <c r="J37" s="301"/>
    </row>
    <row r="38" spans="2:10" ht="16.2" thickTop="1" x14ac:dyDescent="0.3">
      <c r="B38" s="2096"/>
      <c r="C38" s="2099"/>
      <c r="D38" s="2098"/>
      <c r="E38" s="286"/>
      <c r="F38" s="1665"/>
      <c r="G38" s="849"/>
      <c r="H38" s="1657"/>
      <c r="J38" s="301"/>
    </row>
    <row r="39" spans="2:10" x14ac:dyDescent="0.3">
      <c r="B39" s="2096" t="s">
        <v>347</v>
      </c>
      <c r="C39" s="2102" t="s">
        <v>245</v>
      </c>
      <c r="D39" s="2098"/>
      <c r="E39" s="286"/>
      <c r="F39" s="1665"/>
      <c r="G39" s="849"/>
      <c r="H39" s="1657"/>
      <c r="J39" s="301"/>
    </row>
    <row r="40" spans="2:10" x14ac:dyDescent="0.3">
      <c r="B40" s="2096">
        <v>1</v>
      </c>
      <c r="C40" s="2102" t="s">
        <v>348</v>
      </c>
      <c r="D40" s="2098"/>
      <c r="E40" s="286"/>
      <c r="F40" s="1665"/>
      <c r="G40" s="849"/>
      <c r="H40" s="1657"/>
      <c r="J40" s="301"/>
    </row>
    <row r="41" spans="2:10" x14ac:dyDescent="0.3">
      <c r="B41" s="2096"/>
      <c r="C41" s="2097" t="s">
        <v>2049</v>
      </c>
      <c r="D41" s="2106">
        <v>12</v>
      </c>
      <c r="E41" s="286">
        <f>'sch 12-12.2'!E14</f>
        <v>20709000</v>
      </c>
      <c r="F41" s="1665">
        <v>20709000</v>
      </c>
      <c r="G41" s="849">
        <v>6185420</v>
      </c>
      <c r="H41" s="1659"/>
      <c r="J41" s="301"/>
    </row>
    <row r="42" spans="2:10" x14ac:dyDescent="0.3">
      <c r="B42" s="2096"/>
      <c r="C42" s="2097" t="s">
        <v>2050</v>
      </c>
      <c r="D42" s="2107">
        <v>12.1</v>
      </c>
      <c r="E42" s="286">
        <f>'sch 12-12.2'!F72</f>
        <v>445856.71999999881</v>
      </c>
      <c r="F42" s="1665">
        <v>-695910.24000000209</v>
      </c>
      <c r="G42" s="849">
        <v>3029660</v>
      </c>
      <c r="H42" s="849"/>
      <c r="I42" s="997"/>
      <c r="J42" s="301"/>
    </row>
    <row r="43" spans="2:10" x14ac:dyDescent="0.3">
      <c r="B43" s="2096"/>
      <c r="C43" s="2104" t="s">
        <v>349</v>
      </c>
      <c r="D43" s="2098"/>
      <c r="E43" s="1033">
        <f>SUM(E41:E42)</f>
        <v>21154856.719999999</v>
      </c>
      <c r="F43" s="1667">
        <v>20013089.759999998</v>
      </c>
      <c r="G43" s="1660">
        <f>G41-G42</f>
        <v>3155760</v>
      </c>
      <c r="H43" s="1663"/>
      <c r="J43" s="301"/>
    </row>
    <row r="44" spans="2:10" x14ac:dyDescent="0.3">
      <c r="B44" s="2096"/>
      <c r="C44" s="2102"/>
      <c r="D44" s="2098"/>
      <c r="E44" s="286"/>
      <c r="F44" s="1665"/>
      <c r="G44" s="849"/>
      <c r="H44" s="1657"/>
      <c r="J44" s="301"/>
    </row>
    <row r="45" spans="2:10" x14ac:dyDescent="0.3">
      <c r="B45" s="2108">
        <v>2</v>
      </c>
      <c r="C45" s="2102" t="s">
        <v>350</v>
      </c>
      <c r="D45" s="2098"/>
      <c r="E45" s="286"/>
      <c r="F45" s="1665"/>
      <c r="G45" s="849"/>
      <c r="H45" s="1657"/>
      <c r="J45" s="301"/>
    </row>
    <row r="46" spans="2:10" x14ac:dyDescent="0.3">
      <c r="B46" s="2096" t="s">
        <v>351</v>
      </c>
      <c r="C46" s="2102" t="s">
        <v>246</v>
      </c>
      <c r="D46" s="2098"/>
      <c r="E46" s="286"/>
      <c r="F46" s="1665"/>
      <c r="G46" s="849"/>
      <c r="H46" s="1657"/>
      <c r="J46" s="301"/>
    </row>
    <row r="47" spans="2:10" x14ac:dyDescent="0.3">
      <c r="B47" s="2096"/>
      <c r="C47" s="2097" t="s">
        <v>2051</v>
      </c>
      <c r="D47" s="2098"/>
      <c r="E47" s="286"/>
      <c r="F47" s="1665"/>
      <c r="G47" s="849"/>
      <c r="H47" s="1657"/>
      <c r="J47" s="301"/>
    </row>
    <row r="48" spans="2:10" x14ac:dyDescent="0.3">
      <c r="B48" s="2096"/>
      <c r="C48" s="2103" t="s">
        <v>2052</v>
      </c>
      <c r="D48" s="2098">
        <v>13</v>
      </c>
      <c r="E48" s="286">
        <f>Sch!D236</f>
        <v>322717790</v>
      </c>
      <c r="F48" s="1665">
        <v>0</v>
      </c>
      <c r="G48" s="849"/>
      <c r="H48" s="849"/>
      <c r="J48" s="301"/>
    </row>
    <row r="49" spans="2:10" x14ac:dyDescent="0.3">
      <c r="B49" s="2096"/>
      <c r="C49" s="2103" t="s">
        <v>2053</v>
      </c>
      <c r="D49" s="2098">
        <v>14</v>
      </c>
      <c r="E49" s="286">
        <f>Sch!D288</f>
        <v>0</v>
      </c>
      <c r="F49" s="1665">
        <v>0</v>
      </c>
      <c r="G49" s="849"/>
      <c r="H49" s="849"/>
      <c r="J49" s="301"/>
    </row>
    <row r="50" spans="2:10" x14ac:dyDescent="0.3">
      <c r="B50" s="2096"/>
      <c r="C50" s="2103" t="s">
        <v>2054</v>
      </c>
      <c r="D50" s="2098">
        <v>15</v>
      </c>
      <c r="E50" s="286">
        <f>Sch!D318</f>
        <v>0</v>
      </c>
      <c r="F50" s="1665">
        <v>0</v>
      </c>
      <c r="G50" s="849"/>
      <c r="H50" s="849"/>
      <c r="J50" s="301"/>
    </row>
    <row r="51" spans="2:10" x14ac:dyDescent="0.3">
      <c r="B51" s="2096"/>
      <c r="C51" s="2097" t="s">
        <v>2055</v>
      </c>
      <c r="D51" s="2098">
        <v>16</v>
      </c>
      <c r="E51" s="286">
        <f>Sch!D342</f>
        <v>0</v>
      </c>
      <c r="F51" s="1665">
        <v>0</v>
      </c>
      <c r="G51" s="849"/>
      <c r="H51" s="849"/>
      <c r="J51" s="301"/>
    </row>
    <row r="52" spans="2:10" x14ac:dyDescent="0.3">
      <c r="B52" s="2096"/>
      <c r="C52" s="2097" t="s">
        <v>2056</v>
      </c>
      <c r="D52" s="2098">
        <v>7</v>
      </c>
      <c r="E52" s="286">
        <f>Sch!D121</f>
        <v>0</v>
      </c>
      <c r="F52" s="1665">
        <v>0</v>
      </c>
      <c r="G52" s="849"/>
      <c r="H52" s="849"/>
      <c r="J52" s="301"/>
    </row>
    <row r="53" spans="2:10" x14ac:dyDescent="0.3">
      <c r="B53" s="2096"/>
      <c r="C53" s="2097" t="s">
        <v>2057</v>
      </c>
      <c r="D53" s="2098"/>
      <c r="E53" s="286">
        <v>0</v>
      </c>
      <c r="F53" s="1665">
        <v>0</v>
      </c>
      <c r="G53" s="849"/>
      <c r="H53" s="849"/>
      <c r="J53" s="301"/>
    </row>
    <row r="54" spans="2:10" x14ac:dyDescent="0.3">
      <c r="B54" s="2096"/>
      <c r="C54" s="2099"/>
      <c r="D54" s="2098"/>
      <c r="E54" s="286"/>
      <c r="F54" s="1665"/>
      <c r="G54" s="849"/>
      <c r="H54" s="1657"/>
      <c r="J54" s="301"/>
    </row>
    <row r="55" spans="2:10" x14ac:dyDescent="0.3">
      <c r="B55" s="2096"/>
      <c r="C55" s="2104" t="s">
        <v>352</v>
      </c>
      <c r="D55" s="2101"/>
      <c r="E55" s="291">
        <f>SUM(E48:E54)</f>
        <v>322717790</v>
      </c>
      <c r="F55" s="1670">
        <v>0</v>
      </c>
      <c r="G55" s="1661"/>
      <c r="H55" s="1661"/>
      <c r="J55" s="301"/>
    </row>
    <row r="56" spans="2:10" x14ac:dyDescent="0.3">
      <c r="B56" s="2096" t="s">
        <v>353</v>
      </c>
      <c r="C56" s="2102" t="s">
        <v>2058</v>
      </c>
      <c r="D56" s="2098"/>
      <c r="E56" s="286"/>
      <c r="F56" s="1665"/>
      <c r="G56" s="849"/>
      <c r="H56" s="1657"/>
      <c r="J56" s="301"/>
    </row>
    <row r="57" spans="2:10" x14ac:dyDescent="0.3">
      <c r="B57" s="2096"/>
      <c r="C57" s="2097" t="s">
        <v>2059</v>
      </c>
      <c r="D57" s="2098"/>
      <c r="E57" s="286"/>
      <c r="F57" s="1665"/>
      <c r="G57" s="849"/>
      <c r="H57" s="1657"/>
      <c r="I57" s="301"/>
      <c r="J57" s="301"/>
    </row>
    <row r="58" spans="2:10" x14ac:dyDescent="0.3">
      <c r="B58" s="2096"/>
      <c r="C58" s="2103" t="s">
        <v>2052</v>
      </c>
      <c r="D58" s="2098">
        <v>13</v>
      </c>
      <c r="E58" s="286">
        <f>Sch!D255</f>
        <v>0</v>
      </c>
      <c r="F58" s="1665">
        <v>0</v>
      </c>
      <c r="G58" s="849"/>
      <c r="H58" s="849"/>
      <c r="J58" s="301"/>
    </row>
    <row r="59" spans="2:10" x14ac:dyDescent="0.3">
      <c r="B59" s="2096"/>
      <c r="C59" s="2103" t="s">
        <v>2060</v>
      </c>
      <c r="D59" s="2098">
        <v>14</v>
      </c>
      <c r="E59" s="286">
        <f>Sch!D297</f>
        <v>0</v>
      </c>
      <c r="F59" s="1665">
        <v>167924.6</v>
      </c>
      <c r="G59" s="849"/>
      <c r="H59" s="849"/>
      <c r="I59" s="301"/>
      <c r="J59" s="301"/>
    </row>
    <row r="60" spans="2:10" x14ac:dyDescent="0.3">
      <c r="B60" s="2096"/>
      <c r="C60" s="2103" t="s">
        <v>2061</v>
      </c>
      <c r="D60" s="2098">
        <v>15</v>
      </c>
      <c r="E60" s="286">
        <f>Sch!D329</f>
        <v>12800384</v>
      </c>
      <c r="F60" s="1665">
        <v>0</v>
      </c>
      <c r="G60" s="849"/>
      <c r="H60" s="849"/>
      <c r="J60" s="301"/>
    </row>
    <row r="61" spans="2:10" x14ac:dyDescent="0.3">
      <c r="B61" s="2096"/>
      <c r="C61" s="2097" t="s">
        <v>2062</v>
      </c>
      <c r="D61" s="2098">
        <v>16</v>
      </c>
      <c r="E61" s="1665">
        <f>Sch!D350</f>
        <v>0</v>
      </c>
      <c r="F61" s="1665">
        <v>239838</v>
      </c>
      <c r="G61" s="849"/>
      <c r="H61" s="849"/>
      <c r="I61" s="301"/>
      <c r="J61" s="301"/>
    </row>
    <row r="62" spans="2:10" x14ac:dyDescent="0.3">
      <c r="B62" s="2096"/>
      <c r="C62" s="2097" t="s">
        <v>2063</v>
      </c>
      <c r="D62" s="2098">
        <v>17</v>
      </c>
      <c r="E62" s="286">
        <f>Sch!D366</f>
        <v>2413272.1999999997</v>
      </c>
      <c r="F62" s="1665">
        <v>529461.17999999993</v>
      </c>
      <c r="G62" s="849"/>
      <c r="H62" s="849"/>
      <c r="I62" s="301"/>
      <c r="J62" s="301"/>
    </row>
    <row r="63" spans="2:10" x14ac:dyDescent="0.3">
      <c r="B63" s="2096"/>
      <c r="C63" s="2097" t="s">
        <v>2064</v>
      </c>
      <c r="D63" s="2098">
        <v>7</v>
      </c>
      <c r="E63" s="286">
        <f>Sch!D127</f>
        <v>0</v>
      </c>
      <c r="F63" s="1665">
        <v>0</v>
      </c>
      <c r="G63" s="849"/>
      <c r="H63" s="849"/>
      <c r="I63" s="1809"/>
      <c r="J63" s="301"/>
    </row>
    <row r="64" spans="2:10" x14ac:dyDescent="0.3">
      <c r="B64" s="2096"/>
      <c r="C64" s="2100" t="s">
        <v>1444</v>
      </c>
      <c r="D64" s="2098"/>
      <c r="E64" s="1033">
        <f>SUM(E58:E63)</f>
        <v>15213656.199999999</v>
      </c>
      <c r="F64" s="1667">
        <v>937223.77999999991</v>
      </c>
      <c r="G64" s="1660"/>
      <c r="H64" s="1660"/>
      <c r="I64" s="301"/>
      <c r="J64" s="301"/>
    </row>
    <row r="65" spans="2:12" x14ac:dyDescent="0.3">
      <c r="B65" s="2096"/>
      <c r="C65" s="2100" t="s">
        <v>2065</v>
      </c>
      <c r="D65" s="2098"/>
      <c r="E65" s="1033">
        <f>E64+E55</f>
        <v>337931446.19999999</v>
      </c>
      <c r="F65" s="1667">
        <v>937223.77999999991</v>
      </c>
      <c r="G65" s="1660"/>
      <c r="H65" s="1661"/>
      <c r="J65" s="997"/>
      <c r="K65" s="301"/>
    </row>
    <row r="66" spans="2:12" x14ac:dyDescent="0.3">
      <c r="B66" s="2096"/>
      <c r="C66" s="2100"/>
      <c r="D66" s="2098"/>
      <c r="E66" s="1188"/>
      <c r="F66" s="1671"/>
      <c r="G66" s="1660"/>
      <c r="H66" s="1661"/>
      <c r="I66" s="1809"/>
      <c r="J66" s="301"/>
    </row>
    <row r="67" spans="2:12" ht="16.2" thickBot="1" x14ac:dyDescent="0.35">
      <c r="B67" s="2109"/>
      <c r="C67" s="2110" t="s">
        <v>354</v>
      </c>
      <c r="D67" s="2111"/>
      <c r="E67" s="1189">
        <f>E65+E43</f>
        <v>359086302.91999996</v>
      </c>
      <c r="F67" s="1672">
        <v>20950313.539999999</v>
      </c>
      <c r="G67" s="805">
        <f>E37-E67</f>
        <v>9.0000033378601074E-2</v>
      </c>
      <c r="H67" s="1697"/>
      <c r="I67" s="1814"/>
      <c r="J67" s="301"/>
      <c r="K67" s="301"/>
      <c r="L67" s="301"/>
    </row>
    <row r="68" spans="2:12" ht="16.2" thickTop="1" x14ac:dyDescent="0.3">
      <c r="B68" s="2112" t="s">
        <v>355</v>
      </c>
      <c r="C68" s="2113"/>
      <c r="D68" s="2114"/>
      <c r="E68" s="2114"/>
      <c r="F68" s="2115"/>
      <c r="G68" s="304"/>
      <c r="H68" s="304"/>
      <c r="I68" s="997"/>
    </row>
    <row r="69" spans="2:12" x14ac:dyDescent="0.3">
      <c r="B69" s="2116" t="s">
        <v>357</v>
      </c>
      <c r="C69" s="2117"/>
      <c r="D69" s="2118" t="s">
        <v>359</v>
      </c>
      <c r="E69" s="2118"/>
      <c r="F69" s="2119"/>
      <c r="G69" s="306"/>
      <c r="H69" s="1023"/>
    </row>
    <row r="70" spans="2:12" x14ac:dyDescent="0.3">
      <c r="B70" s="2120" t="s">
        <v>2191</v>
      </c>
      <c r="C70" s="2117"/>
      <c r="D70" s="2118" t="str">
        <f>B2</f>
        <v>Arunjyoti Bio Ventures Limited</v>
      </c>
      <c r="E70" s="2118"/>
      <c r="F70" s="2119"/>
      <c r="G70" s="849"/>
      <c r="H70" s="1023"/>
    </row>
    <row r="71" spans="2:12" x14ac:dyDescent="0.3">
      <c r="B71" s="2121" t="s">
        <v>251</v>
      </c>
      <c r="C71" s="2117"/>
      <c r="D71" s="2122"/>
      <c r="E71" s="2122"/>
      <c r="F71" s="2123"/>
      <c r="G71" s="849"/>
      <c r="H71" s="1023"/>
    </row>
    <row r="72" spans="2:12" x14ac:dyDescent="0.3">
      <c r="B72" s="2121" t="s">
        <v>2187</v>
      </c>
      <c r="C72" s="2117"/>
      <c r="D72" s="2117"/>
      <c r="E72" s="2117"/>
      <c r="F72" s="2124"/>
      <c r="G72" s="306"/>
      <c r="H72" s="1023"/>
    </row>
    <row r="73" spans="2:12" x14ac:dyDescent="0.3">
      <c r="B73" s="2121"/>
      <c r="C73" s="2117"/>
      <c r="D73" s="2117"/>
      <c r="E73" s="2117"/>
      <c r="F73" s="2124"/>
      <c r="G73" s="306"/>
      <c r="H73" s="1023"/>
    </row>
    <row r="74" spans="2:12" x14ac:dyDescent="0.3">
      <c r="B74" s="2121"/>
      <c r="C74" s="2117"/>
      <c r="D74" s="2125" t="s">
        <v>2429</v>
      </c>
      <c r="E74" s="2125"/>
      <c r="F74" s="2126"/>
      <c r="G74" s="306"/>
      <c r="H74" s="1023"/>
    </row>
    <row r="75" spans="2:12" x14ac:dyDescent="0.3">
      <c r="B75" s="2121"/>
      <c r="C75" s="2117"/>
      <c r="D75" s="2127" t="s">
        <v>2152</v>
      </c>
      <c r="E75" s="2127"/>
      <c r="F75" s="2128"/>
      <c r="G75" s="306"/>
      <c r="H75" s="1023"/>
    </row>
    <row r="76" spans="2:12" x14ac:dyDescent="0.3">
      <c r="B76" s="2120" t="s">
        <v>2188</v>
      </c>
      <c r="C76" s="2117"/>
      <c r="D76" s="2127" t="s">
        <v>2438</v>
      </c>
      <c r="E76" s="2127"/>
      <c r="F76" s="2128"/>
    </row>
    <row r="77" spans="2:12" x14ac:dyDescent="0.3">
      <c r="B77" s="2121" t="s">
        <v>364</v>
      </c>
      <c r="C77" s="2117"/>
      <c r="D77" s="2127"/>
      <c r="E77" s="2127"/>
      <c r="F77" s="2128"/>
    </row>
    <row r="78" spans="2:12" x14ac:dyDescent="0.3">
      <c r="B78" s="2121" t="s">
        <v>2189</v>
      </c>
      <c r="C78" s="2117"/>
      <c r="D78" s="2127"/>
      <c r="E78" s="2127"/>
      <c r="F78" s="2128"/>
    </row>
    <row r="79" spans="2:12" x14ac:dyDescent="0.3">
      <c r="B79" s="2129" t="s">
        <v>2419</v>
      </c>
      <c r="C79" s="2117"/>
      <c r="D79" s="2127"/>
      <c r="E79" s="2127"/>
      <c r="F79" s="2128"/>
    </row>
    <row r="80" spans="2:12" x14ac:dyDescent="0.3">
      <c r="B80" s="2121"/>
      <c r="C80" s="2117"/>
      <c r="D80" s="2125" t="s">
        <v>2430</v>
      </c>
      <c r="E80" s="2125"/>
      <c r="F80" s="2126"/>
      <c r="G80" s="314"/>
      <c r="H80" s="1024"/>
    </row>
    <row r="81" spans="2:8" x14ac:dyDescent="0.3">
      <c r="B81" s="2130" t="s">
        <v>370</v>
      </c>
      <c r="C81" s="2131"/>
      <c r="D81" s="2127" t="s">
        <v>2431</v>
      </c>
      <c r="E81" s="2127"/>
      <c r="F81" s="2128"/>
      <c r="G81" s="849"/>
      <c r="H81" s="1024"/>
    </row>
    <row r="82" spans="2:8" ht="16.2" thickBot="1" x14ac:dyDescent="0.35">
      <c r="B82" s="2132" t="s">
        <v>2432</v>
      </c>
      <c r="C82" s="2133"/>
      <c r="D82" s="2134" t="s">
        <v>2439</v>
      </c>
      <c r="E82" s="2134"/>
      <c r="F82" s="2134"/>
      <c r="G82" s="849"/>
      <c r="H82" s="1024"/>
    </row>
    <row r="83" spans="2:8" x14ac:dyDescent="0.3">
      <c r="B83" s="2135" t="str">
        <f>B2</f>
        <v>Arunjyoti Bio Ventures Limited</v>
      </c>
      <c r="C83" s="2135"/>
      <c r="D83" s="2135"/>
      <c r="E83" s="2135"/>
      <c r="F83" s="2135"/>
      <c r="G83" s="287"/>
      <c r="H83" s="287"/>
    </row>
    <row r="84" spans="2:8" x14ac:dyDescent="0.3">
      <c r="B84" s="1924" t="str">
        <f>B3</f>
        <v>CIN NO: L01400TG1986PLC062463</v>
      </c>
      <c r="C84" s="1924"/>
      <c r="D84" s="1924"/>
      <c r="E84" s="1924"/>
      <c r="F84" s="1924"/>
      <c r="G84" s="287"/>
      <c r="H84" s="287"/>
    </row>
    <row r="85" spans="2:8" x14ac:dyDescent="0.3">
      <c r="B85" s="1927" t="str">
        <f>B4</f>
        <v>Plot No. 45, P &amp; T Colony, Karkhana Secunderabad Hyderabad TG 500009 IN</v>
      </c>
      <c r="C85" s="1927"/>
      <c r="D85" s="1927"/>
      <c r="E85" s="1927"/>
      <c r="F85" s="1927"/>
      <c r="G85" s="287"/>
      <c r="H85" s="287"/>
    </row>
    <row r="86" spans="2:8" x14ac:dyDescent="0.3">
      <c r="B86" s="1940" t="s">
        <v>2426</v>
      </c>
      <c r="C86" s="1941"/>
      <c r="D86" s="1941"/>
      <c r="E86" s="1941"/>
      <c r="F86" s="1941"/>
      <c r="G86" s="287"/>
      <c r="H86" s="287"/>
    </row>
    <row r="87" spans="2:8" x14ac:dyDescent="0.3">
      <c r="B87" s="1936"/>
      <c r="C87" s="1937"/>
      <c r="D87" s="1937"/>
      <c r="E87" s="1937"/>
      <c r="F87" s="1937"/>
      <c r="G87" s="849"/>
      <c r="H87" s="1656"/>
    </row>
    <row r="88" spans="2:8" ht="50.4" customHeight="1" x14ac:dyDescent="0.3">
      <c r="B88" s="1826"/>
      <c r="C88" s="884"/>
      <c r="D88" s="282" t="s">
        <v>342</v>
      </c>
      <c r="E88" s="1821" t="s">
        <v>2433</v>
      </c>
      <c r="F88" s="1827" t="s">
        <v>2371</v>
      </c>
      <c r="G88" s="1823"/>
      <c r="H88" s="1824"/>
    </row>
    <row r="89" spans="2:8" x14ac:dyDescent="0.3">
      <c r="B89" s="1032"/>
      <c r="C89" s="535" t="s">
        <v>1938</v>
      </c>
      <c r="D89" s="538"/>
      <c r="E89" s="1548"/>
      <c r="F89" s="1673"/>
      <c r="G89" s="1689"/>
      <c r="H89" s="1689"/>
    </row>
    <row r="90" spans="2:8" x14ac:dyDescent="0.3">
      <c r="B90" s="285" t="s">
        <v>519</v>
      </c>
      <c r="C90" s="284" t="s">
        <v>1945</v>
      </c>
      <c r="D90" s="285">
        <v>18</v>
      </c>
      <c r="E90" s="1674">
        <f>Sch!D388</f>
        <v>17352507.5</v>
      </c>
      <c r="F90" s="1674">
        <v>29708700.600000001</v>
      </c>
      <c r="G90" s="1659"/>
      <c r="H90" s="1659"/>
    </row>
    <row r="91" spans="2:8" x14ac:dyDescent="0.3">
      <c r="B91" s="285" t="s">
        <v>1939</v>
      </c>
      <c r="C91" s="337" t="s">
        <v>1944</v>
      </c>
      <c r="D91" s="285">
        <v>19</v>
      </c>
      <c r="E91" s="1674">
        <f>Sch!D429</f>
        <v>0</v>
      </c>
      <c r="F91" s="1674">
        <v>2799043</v>
      </c>
      <c r="G91" s="1659"/>
      <c r="H91" s="1659"/>
    </row>
    <row r="92" spans="2:8" ht="31.2" x14ac:dyDescent="0.3">
      <c r="B92" s="285" t="s">
        <v>1940</v>
      </c>
      <c r="C92" s="1025" t="s">
        <v>1943</v>
      </c>
      <c r="D92" s="285">
        <v>20</v>
      </c>
      <c r="E92" s="1674">
        <f>Sch!D435</f>
        <v>0</v>
      </c>
      <c r="F92" s="1674">
        <v>0</v>
      </c>
      <c r="G92" s="1659"/>
      <c r="H92" s="1659"/>
    </row>
    <row r="93" spans="2:8" x14ac:dyDescent="0.3">
      <c r="B93" s="285" t="s">
        <v>1941</v>
      </c>
      <c r="C93" s="1025" t="s">
        <v>1942</v>
      </c>
      <c r="D93" s="285">
        <v>21</v>
      </c>
      <c r="E93" s="1674">
        <f>Sch!D442</f>
        <v>0</v>
      </c>
      <c r="F93" s="1674">
        <v>0</v>
      </c>
      <c r="G93" s="1659"/>
      <c r="H93" s="1659"/>
    </row>
    <row r="94" spans="2:8" x14ac:dyDescent="0.3">
      <c r="B94" s="285" t="s">
        <v>1946</v>
      </c>
      <c r="C94" s="1815" t="s">
        <v>371</v>
      </c>
      <c r="D94" s="285"/>
      <c r="E94" s="1655">
        <f>SUM(E90:E93)</f>
        <v>17352507.5</v>
      </c>
      <c r="F94" s="1655">
        <v>32507743.600000001</v>
      </c>
      <c r="G94" s="1661"/>
      <c r="H94" s="1661"/>
    </row>
    <row r="95" spans="2:8" x14ac:dyDescent="0.3">
      <c r="B95" s="285"/>
      <c r="C95" s="284"/>
      <c r="D95" s="285"/>
      <c r="E95" s="285"/>
      <c r="F95" s="1674"/>
      <c r="G95" s="1659"/>
      <c r="H95" s="1659"/>
    </row>
    <row r="96" spans="2:8" x14ac:dyDescent="0.3">
      <c r="B96" s="285" t="s">
        <v>1947</v>
      </c>
      <c r="C96" s="287" t="s">
        <v>372</v>
      </c>
      <c r="D96" s="285"/>
      <c r="E96" s="285"/>
      <c r="F96" s="1674"/>
      <c r="G96" s="1659"/>
      <c r="H96" s="1659"/>
    </row>
    <row r="97" spans="2:9" x14ac:dyDescent="0.3">
      <c r="B97" s="1036"/>
      <c r="C97" s="284" t="s">
        <v>1928</v>
      </c>
      <c r="D97" s="285">
        <v>22</v>
      </c>
      <c r="E97" s="1674">
        <f>Sch!D457</f>
        <v>0</v>
      </c>
      <c r="F97" s="1674">
        <v>28746642.010000002</v>
      </c>
      <c r="G97" s="1659"/>
      <c r="H97" s="1659"/>
    </row>
    <row r="98" spans="2:9" x14ac:dyDescent="0.3">
      <c r="B98" s="1036"/>
      <c r="C98" s="284" t="s">
        <v>1929</v>
      </c>
      <c r="D98" s="285"/>
      <c r="E98" s="1674">
        <f>'Trial Balance'!R1278</f>
        <v>23806175.609999999</v>
      </c>
      <c r="F98" s="1674">
        <v>0</v>
      </c>
      <c r="G98" s="1659"/>
      <c r="H98" s="1659"/>
    </row>
    <row r="99" spans="2:9" ht="31.2" x14ac:dyDescent="0.3">
      <c r="B99" s="285"/>
      <c r="C99" s="1026" t="s">
        <v>1930</v>
      </c>
      <c r="D99" s="285">
        <v>23</v>
      </c>
      <c r="E99" s="1674">
        <f>Sch!D473</f>
        <v>-8848423</v>
      </c>
      <c r="F99" s="832">
        <v>0</v>
      </c>
      <c r="G99" s="826"/>
      <c r="H99" s="826"/>
    </row>
    <row r="100" spans="2:9" x14ac:dyDescent="0.3">
      <c r="B100" s="285"/>
      <c r="C100" s="284" t="s">
        <v>2295</v>
      </c>
      <c r="D100" s="285">
        <v>24</v>
      </c>
      <c r="E100" s="1674">
        <f>Sch!D479</f>
        <v>0</v>
      </c>
      <c r="F100" s="832">
        <v>66634</v>
      </c>
      <c r="G100" s="826"/>
      <c r="H100" s="826"/>
    </row>
    <row r="101" spans="2:9" x14ac:dyDescent="0.3">
      <c r="B101" s="285"/>
      <c r="C101" s="284" t="s">
        <v>1931</v>
      </c>
      <c r="D101" s="285">
        <v>25</v>
      </c>
      <c r="E101" s="1674">
        <f>Sch!D493</f>
        <v>84156</v>
      </c>
      <c r="F101" s="1674">
        <v>636000</v>
      </c>
      <c r="G101" s="1659"/>
      <c r="H101" s="1659"/>
    </row>
    <row r="102" spans="2:9" x14ac:dyDescent="0.3">
      <c r="B102" s="285"/>
      <c r="C102" s="284" t="s">
        <v>1932</v>
      </c>
      <c r="D102" s="285">
        <v>26</v>
      </c>
      <c r="E102" s="1674">
        <f>Sch!D508</f>
        <v>49856</v>
      </c>
      <c r="F102" s="1674">
        <v>9861.89</v>
      </c>
      <c r="G102" s="1659"/>
      <c r="H102" s="1659"/>
    </row>
    <row r="103" spans="2:9" x14ac:dyDescent="0.3">
      <c r="B103" s="285"/>
      <c r="C103" s="284" t="s">
        <v>1933</v>
      </c>
      <c r="D103" s="295">
        <v>27</v>
      </c>
      <c r="E103" s="1674">
        <f>Sch!D516</f>
        <v>0</v>
      </c>
      <c r="F103" s="1674">
        <v>0</v>
      </c>
      <c r="G103" s="1659"/>
      <c r="H103" s="1659"/>
    </row>
    <row r="104" spans="2:9" x14ac:dyDescent="0.3">
      <c r="B104" s="285"/>
      <c r="C104" s="284" t="s">
        <v>1934</v>
      </c>
      <c r="D104" s="295"/>
      <c r="E104" s="1674"/>
      <c r="F104" s="1674"/>
      <c r="G104" s="1659"/>
      <c r="H104" s="1659"/>
    </row>
    <row r="105" spans="2:9" ht="31.2" x14ac:dyDescent="0.3">
      <c r="B105" s="285"/>
      <c r="C105" s="1026" t="s">
        <v>1935</v>
      </c>
      <c r="D105" s="295">
        <v>20</v>
      </c>
      <c r="E105" s="1674">
        <f>Sch!D435</f>
        <v>0</v>
      </c>
      <c r="F105" s="1674">
        <v>0</v>
      </c>
      <c r="G105" s="1659"/>
      <c r="H105" s="1659"/>
    </row>
    <row r="106" spans="2:9" ht="31.2" x14ac:dyDescent="0.3">
      <c r="B106" s="285"/>
      <c r="C106" s="1026" t="s">
        <v>1936</v>
      </c>
      <c r="D106" s="295">
        <v>21</v>
      </c>
      <c r="E106" s="1674">
        <f>Sch!D442</f>
        <v>0</v>
      </c>
      <c r="F106" s="1674">
        <v>0</v>
      </c>
      <c r="G106" s="1659"/>
      <c r="H106" s="1659"/>
    </row>
    <row r="107" spans="2:9" x14ac:dyDescent="0.3">
      <c r="B107" s="285"/>
      <c r="C107" s="284" t="s">
        <v>373</v>
      </c>
      <c r="D107" s="285">
        <v>28</v>
      </c>
      <c r="E107" s="1674">
        <f>Sch!D544</f>
        <v>681914.93</v>
      </c>
      <c r="F107" s="1674">
        <v>2288383.94</v>
      </c>
      <c r="G107" s="1659"/>
      <c r="H107" s="1659"/>
    </row>
    <row r="108" spans="2:9" x14ac:dyDescent="0.3">
      <c r="B108" s="285"/>
      <c r="C108" s="290" t="s">
        <v>1948</v>
      </c>
      <c r="D108" s="293"/>
      <c r="E108" s="1655">
        <f>SUM(E97:E107)</f>
        <v>15773679.539999999</v>
      </c>
      <c r="F108" s="1655">
        <v>31747521.840000004</v>
      </c>
      <c r="G108" s="1661"/>
      <c r="H108" s="1661"/>
    </row>
    <row r="109" spans="2:9" ht="46.8" x14ac:dyDescent="0.3">
      <c r="B109" s="1037" t="s">
        <v>1949</v>
      </c>
      <c r="C109" s="1027" t="s">
        <v>1937</v>
      </c>
      <c r="D109" s="293"/>
      <c r="E109" s="1675">
        <f>E94-E108</f>
        <v>1578827.9600000009</v>
      </c>
      <c r="F109" s="1675">
        <v>760221.75999999791</v>
      </c>
      <c r="G109" s="1690"/>
      <c r="H109" s="1663"/>
      <c r="I109" s="301"/>
    </row>
    <row r="110" spans="2:9" x14ac:dyDescent="0.3">
      <c r="B110" s="1038" t="s">
        <v>1950</v>
      </c>
      <c r="C110" s="1028" t="s">
        <v>1951</v>
      </c>
      <c r="D110" s="293"/>
      <c r="E110" s="293"/>
      <c r="F110" s="1675"/>
      <c r="G110" s="1690"/>
      <c r="H110" s="1661"/>
    </row>
    <row r="111" spans="2:9" x14ac:dyDescent="0.3">
      <c r="B111" s="1038"/>
      <c r="C111" s="1028" t="s">
        <v>1953</v>
      </c>
      <c r="D111" s="293"/>
      <c r="E111" s="293"/>
      <c r="F111" s="1675"/>
      <c r="G111" s="1690"/>
      <c r="H111" s="1661"/>
    </row>
    <row r="112" spans="2:9" x14ac:dyDescent="0.3">
      <c r="B112" s="293" t="s">
        <v>1952</v>
      </c>
      <c r="C112" s="287" t="s">
        <v>1954</v>
      </c>
      <c r="D112" s="293"/>
      <c r="E112" s="985">
        <f>E109+E110+E111</f>
        <v>1578827.9600000009</v>
      </c>
      <c r="F112" s="985">
        <v>760221.75999999791</v>
      </c>
      <c r="G112" s="1663"/>
      <c r="H112" s="1663"/>
    </row>
    <row r="113" spans="2:9" x14ac:dyDescent="0.3">
      <c r="B113" s="285" t="s">
        <v>1955</v>
      </c>
      <c r="C113" s="287" t="s">
        <v>1956</v>
      </c>
      <c r="D113" s="293"/>
      <c r="E113" s="293"/>
      <c r="F113" s="985"/>
      <c r="G113" s="1663"/>
      <c r="H113" s="1663"/>
    </row>
    <row r="114" spans="2:9" x14ac:dyDescent="0.3">
      <c r="B114" s="285" t="s">
        <v>1957</v>
      </c>
      <c r="C114" s="287" t="s">
        <v>1958</v>
      </c>
      <c r="D114" s="293"/>
      <c r="E114" s="985">
        <f>E112+E113</f>
        <v>1578827.9600000009</v>
      </c>
      <c r="F114" s="985">
        <v>760221.75999999791</v>
      </c>
      <c r="G114" s="1663"/>
      <c r="H114" s="1663"/>
    </row>
    <row r="115" spans="2:9" x14ac:dyDescent="0.3">
      <c r="B115" s="285" t="s">
        <v>1959</v>
      </c>
      <c r="C115" s="287" t="s">
        <v>374</v>
      </c>
      <c r="D115" s="285"/>
      <c r="E115" s="285"/>
      <c r="F115" s="1674"/>
      <c r="G115" s="1659"/>
      <c r="H115" s="1659"/>
    </row>
    <row r="116" spans="2:9" x14ac:dyDescent="0.3">
      <c r="B116" s="285"/>
      <c r="C116" s="284" t="s">
        <v>375</v>
      </c>
      <c r="D116" s="285"/>
      <c r="E116" s="1674">
        <f>Computation!F69</f>
        <v>410495</v>
      </c>
      <c r="F116" s="1674">
        <v>197657</v>
      </c>
      <c r="G116" s="1659"/>
      <c r="H116" s="1659"/>
      <c r="I116" s="437"/>
    </row>
    <row r="117" spans="2:9" x14ac:dyDescent="0.3">
      <c r="B117" s="285"/>
      <c r="C117" s="284" t="s">
        <v>376</v>
      </c>
      <c r="D117" s="332"/>
      <c r="E117" s="1674">
        <v>0</v>
      </c>
      <c r="F117" s="1676">
        <v>0</v>
      </c>
      <c r="G117" s="1691"/>
      <c r="H117" s="1691"/>
    </row>
    <row r="118" spans="2:9" x14ac:dyDescent="0.3">
      <c r="B118" s="285"/>
      <c r="C118" s="284"/>
      <c r="D118" s="285"/>
      <c r="E118" s="285"/>
      <c r="F118" s="1674"/>
      <c r="G118" s="1659"/>
      <c r="H118" s="1659"/>
    </row>
    <row r="119" spans="2:9" x14ac:dyDescent="0.3">
      <c r="B119" s="285" t="s">
        <v>1960</v>
      </c>
      <c r="C119" s="287" t="s">
        <v>1961</v>
      </c>
      <c r="D119" s="285"/>
      <c r="E119" s="1677">
        <f>E114-E117-E116</f>
        <v>1168332.9600000009</v>
      </c>
      <c r="F119" s="1677">
        <v>562564.75999999791</v>
      </c>
      <c r="G119" s="1663"/>
      <c r="H119" s="1663"/>
      <c r="I119" s="1692"/>
    </row>
    <row r="120" spans="2:9" x14ac:dyDescent="0.3">
      <c r="B120" s="285"/>
      <c r="C120" s="287" t="s">
        <v>1962</v>
      </c>
      <c r="D120" s="285"/>
      <c r="E120" s="285"/>
      <c r="F120" s="985"/>
      <c r="G120" s="1663"/>
      <c r="H120" s="1663"/>
    </row>
    <row r="121" spans="2:9" x14ac:dyDescent="0.3">
      <c r="B121" s="285" t="s">
        <v>1963</v>
      </c>
      <c r="C121" s="284" t="s">
        <v>1964</v>
      </c>
      <c r="D121" s="285"/>
      <c r="E121" s="985">
        <v>0</v>
      </c>
      <c r="F121" s="985">
        <v>0</v>
      </c>
      <c r="G121" s="1663"/>
      <c r="H121" s="1663"/>
    </row>
    <row r="122" spans="2:9" x14ac:dyDescent="0.3">
      <c r="B122" s="285" t="s">
        <v>1966</v>
      </c>
      <c r="C122" s="284" t="s">
        <v>1965</v>
      </c>
      <c r="D122" s="285"/>
      <c r="E122" s="985">
        <v>0</v>
      </c>
      <c r="F122" s="985">
        <v>0</v>
      </c>
      <c r="G122" s="1663"/>
      <c r="H122" s="1663"/>
    </row>
    <row r="123" spans="2:9" x14ac:dyDescent="0.3">
      <c r="B123" s="285" t="s">
        <v>1968</v>
      </c>
      <c r="C123" s="287" t="s">
        <v>1967</v>
      </c>
      <c r="D123" s="293"/>
      <c r="E123" s="985"/>
      <c r="F123" s="985"/>
      <c r="G123" s="1663"/>
      <c r="H123" s="1661"/>
    </row>
    <row r="124" spans="2:9" x14ac:dyDescent="0.3">
      <c r="B124" s="293" t="s">
        <v>1970</v>
      </c>
      <c r="C124" s="287" t="s">
        <v>1969</v>
      </c>
      <c r="D124" s="293"/>
      <c r="E124" s="1677">
        <f>E119+E123</f>
        <v>1168332.9600000009</v>
      </c>
      <c r="F124" s="1677">
        <v>562564.75999999791</v>
      </c>
      <c r="G124" s="1663"/>
      <c r="H124" s="1663"/>
    </row>
    <row r="125" spans="2:9" x14ac:dyDescent="0.3">
      <c r="B125" s="293" t="s">
        <v>1971</v>
      </c>
      <c r="C125" s="287" t="s">
        <v>2018</v>
      </c>
      <c r="D125" s="293"/>
      <c r="E125" s="988"/>
      <c r="F125" s="988"/>
      <c r="G125" s="1661"/>
      <c r="H125" s="1661"/>
    </row>
    <row r="126" spans="2:9" ht="31.2" x14ac:dyDescent="0.3">
      <c r="B126" s="285"/>
      <c r="C126" s="396" t="s">
        <v>1465</v>
      </c>
      <c r="D126" s="285"/>
      <c r="E126" s="1674"/>
      <c r="F126" s="1674"/>
      <c r="G126" s="1659"/>
      <c r="H126" s="1659"/>
    </row>
    <row r="127" spans="2:9" hidden="1" x14ac:dyDescent="0.3">
      <c r="B127" s="285"/>
      <c r="C127" s="1828" t="s">
        <v>1445</v>
      </c>
      <c r="D127" s="285"/>
      <c r="E127" s="1674"/>
      <c r="F127" s="1674"/>
      <c r="G127" s="1659"/>
      <c r="H127" s="1659"/>
    </row>
    <row r="128" spans="2:9" ht="31.2" hidden="1" x14ac:dyDescent="0.3">
      <c r="B128" s="285"/>
      <c r="C128" s="1828" t="s">
        <v>1449</v>
      </c>
      <c r="D128" s="285"/>
      <c r="E128" s="1674"/>
      <c r="F128" s="1674"/>
      <c r="G128" s="1659"/>
      <c r="H128" s="1659"/>
    </row>
    <row r="129" spans="2:9" ht="31.2" hidden="1" x14ac:dyDescent="0.3">
      <c r="B129" s="285"/>
      <c r="C129" s="1828" t="s">
        <v>1450</v>
      </c>
      <c r="D129" s="285"/>
      <c r="E129" s="1674"/>
      <c r="F129" s="1674"/>
      <c r="G129" s="1659"/>
      <c r="H129" s="1659"/>
    </row>
    <row r="130" spans="2:9" ht="31.2" hidden="1" x14ac:dyDescent="0.3">
      <c r="B130" s="285"/>
      <c r="C130" s="1828" t="s">
        <v>1448</v>
      </c>
      <c r="D130" s="285"/>
      <c r="E130" s="1674"/>
      <c r="F130" s="1674"/>
      <c r="G130" s="1659"/>
      <c r="H130" s="1659"/>
    </row>
    <row r="131" spans="2:9" hidden="1" x14ac:dyDescent="0.3">
      <c r="B131" s="285"/>
      <c r="C131" s="1828" t="s">
        <v>1446</v>
      </c>
      <c r="D131" s="285"/>
      <c r="E131" s="1674"/>
      <c r="F131" s="1674"/>
      <c r="G131" s="1659"/>
      <c r="H131" s="1659"/>
    </row>
    <row r="132" spans="2:9" ht="31.2" hidden="1" x14ac:dyDescent="0.3">
      <c r="B132" s="285"/>
      <c r="C132" s="1828" t="s">
        <v>1451</v>
      </c>
      <c r="D132" s="285"/>
      <c r="E132" s="1674"/>
      <c r="F132" s="1674"/>
      <c r="G132" s="1659"/>
      <c r="H132" s="1659"/>
    </row>
    <row r="133" spans="2:9" ht="31.2" x14ac:dyDescent="0.3">
      <c r="B133" s="285"/>
      <c r="C133" s="1829" t="s">
        <v>1466</v>
      </c>
      <c r="D133" s="285"/>
      <c r="E133" s="1674">
        <v>0</v>
      </c>
      <c r="F133" s="1674">
        <v>0</v>
      </c>
      <c r="G133" s="1659"/>
      <c r="H133" s="1659"/>
    </row>
    <row r="134" spans="2:9" ht="46.8" hidden="1" x14ac:dyDescent="0.3">
      <c r="B134" s="285"/>
      <c r="C134" s="1828" t="s">
        <v>1452</v>
      </c>
      <c r="D134" s="285"/>
      <c r="E134" s="1674"/>
      <c r="F134" s="1674"/>
      <c r="G134" s="1659"/>
      <c r="H134" s="1659"/>
    </row>
    <row r="135" spans="2:9" ht="31.2" hidden="1" x14ac:dyDescent="0.3">
      <c r="B135" s="285"/>
      <c r="C135" s="1828" t="s">
        <v>1453</v>
      </c>
      <c r="D135" s="285"/>
      <c r="E135" s="1674"/>
      <c r="F135" s="1674"/>
      <c r="G135" s="1659"/>
      <c r="H135" s="1659"/>
    </row>
    <row r="136" spans="2:9" ht="46.8" hidden="1" x14ac:dyDescent="0.3">
      <c r="B136" s="285"/>
      <c r="C136" s="1828" t="s">
        <v>1454</v>
      </c>
      <c r="D136" s="285"/>
      <c r="E136" s="1674"/>
      <c r="F136" s="1674"/>
      <c r="G136" s="1659"/>
      <c r="H136" s="1659"/>
    </row>
    <row r="137" spans="2:9" ht="31.2" hidden="1" x14ac:dyDescent="0.3">
      <c r="B137" s="285"/>
      <c r="C137" s="1828" t="s">
        <v>1455</v>
      </c>
      <c r="D137" s="285"/>
      <c r="E137" s="1674"/>
      <c r="F137" s="1674"/>
      <c r="G137" s="1659"/>
      <c r="H137" s="1659"/>
    </row>
    <row r="138" spans="2:9" hidden="1" x14ac:dyDescent="0.3">
      <c r="B138" s="285"/>
      <c r="C138" s="1828" t="s">
        <v>1447</v>
      </c>
      <c r="D138" s="285"/>
      <c r="E138" s="1674"/>
      <c r="F138" s="1674"/>
      <c r="G138" s="1659"/>
      <c r="H138" s="1659"/>
    </row>
    <row r="139" spans="2:9" ht="31.2" hidden="1" x14ac:dyDescent="0.3">
      <c r="B139" s="285"/>
      <c r="C139" s="553" t="s">
        <v>1456</v>
      </c>
      <c r="D139" s="285"/>
      <c r="E139" s="1674"/>
      <c r="F139" s="1674"/>
      <c r="G139" s="1659"/>
      <c r="H139" s="1659"/>
    </row>
    <row r="140" spans="2:9" x14ac:dyDescent="0.3">
      <c r="B140" s="285"/>
      <c r="C140" s="1029" t="s">
        <v>1464</v>
      </c>
      <c r="D140" s="285"/>
      <c r="E140" s="1675">
        <v>0</v>
      </c>
      <c r="F140" s="1675">
        <v>0</v>
      </c>
      <c r="G140" s="1690"/>
      <c r="H140" s="1690"/>
    </row>
    <row r="141" spans="2:9" x14ac:dyDescent="0.3">
      <c r="B141" s="298" t="s">
        <v>599</v>
      </c>
      <c r="C141" s="1178" t="s">
        <v>1443</v>
      </c>
      <c r="D141" s="298"/>
      <c r="E141" s="1677">
        <f>E119+E140</f>
        <v>1168332.9600000009</v>
      </c>
      <c r="F141" s="1677">
        <v>562564.75999999791</v>
      </c>
      <c r="G141" s="1663"/>
      <c r="H141" s="1663"/>
      <c r="I141" s="997"/>
    </row>
    <row r="142" spans="2:9" x14ac:dyDescent="0.3">
      <c r="B142" s="1032"/>
      <c r="C142" s="1179"/>
      <c r="D142" s="1032"/>
      <c r="E142" s="1678"/>
      <c r="F142" s="1678"/>
      <c r="G142" s="1661"/>
      <c r="H142" s="1661"/>
    </row>
    <row r="143" spans="2:9" x14ac:dyDescent="0.3">
      <c r="B143" s="285" t="s">
        <v>600</v>
      </c>
      <c r="C143" s="287" t="s">
        <v>1460</v>
      </c>
      <c r="D143" s="285"/>
      <c r="E143" s="1674"/>
      <c r="F143" s="1674"/>
      <c r="G143" s="1659"/>
      <c r="H143" s="1659"/>
    </row>
    <row r="144" spans="2:9" x14ac:dyDescent="0.3">
      <c r="B144" s="285"/>
      <c r="C144" s="304" t="s">
        <v>1457</v>
      </c>
      <c r="D144" s="332"/>
      <c r="E144" s="1679">
        <f>+E141/'sch 12-12.2'!D14</f>
        <v>0.56416676807185329</v>
      </c>
      <c r="F144" s="1679">
        <v>0.27165230576077931</v>
      </c>
      <c r="G144" s="1693"/>
      <c r="H144" s="1693"/>
      <c r="I144" s="997"/>
    </row>
    <row r="145" spans="2:9" x14ac:dyDescent="0.3">
      <c r="B145" s="285"/>
      <c r="C145" s="304" t="s">
        <v>1458</v>
      </c>
      <c r="D145" s="332"/>
      <c r="E145" s="1679">
        <f>+E144</f>
        <v>0.56416676807185329</v>
      </c>
      <c r="F145" s="1679">
        <v>0.27165230576077931</v>
      </c>
      <c r="G145" s="1693"/>
      <c r="H145" s="1693"/>
    </row>
    <row r="146" spans="2:9" x14ac:dyDescent="0.3">
      <c r="B146" s="285"/>
      <c r="C146" s="304"/>
      <c r="D146" s="332"/>
      <c r="E146" s="1679"/>
      <c r="F146" s="1679"/>
      <c r="G146" s="1693"/>
      <c r="H146" s="1693"/>
    </row>
    <row r="147" spans="2:9" x14ac:dyDescent="0.3">
      <c r="B147" s="285" t="s">
        <v>1461</v>
      </c>
      <c r="C147" s="287" t="s">
        <v>1459</v>
      </c>
      <c r="D147" s="285"/>
      <c r="E147" s="1674"/>
      <c r="F147" s="1674"/>
      <c r="G147" s="1659"/>
      <c r="H147" s="1659"/>
    </row>
    <row r="148" spans="2:9" x14ac:dyDescent="0.3">
      <c r="B148" s="285"/>
      <c r="C148" s="304" t="s">
        <v>1457</v>
      </c>
      <c r="D148" s="332"/>
      <c r="E148" s="1679">
        <v>0</v>
      </c>
      <c r="F148" s="1679">
        <v>0</v>
      </c>
      <c r="G148" s="1693"/>
      <c r="H148" s="1693"/>
    </row>
    <row r="149" spans="2:9" x14ac:dyDescent="0.3">
      <c r="B149" s="285"/>
      <c r="C149" s="304" t="s">
        <v>1458</v>
      </c>
      <c r="D149" s="332"/>
      <c r="E149" s="1679">
        <v>0</v>
      </c>
      <c r="F149" s="1679">
        <v>0</v>
      </c>
      <c r="G149" s="1693"/>
      <c r="H149" s="1693"/>
    </row>
    <row r="150" spans="2:9" ht="30.6" customHeight="1" x14ac:dyDescent="0.3">
      <c r="B150" s="285" t="s">
        <v>1462</v>
      </c>
      <c r="C150" s="1027" t="s">
        <v>1463</v>
      </c>
      <c r="D150" s="285"/>
      <c r="E150" s="1674"/>
      <c r="F150" s="1674"/>
      <c r="G150" s="1659"/>
      <c r="H150" s="1659"/>
    </row>
    <row r="151" spans="2:9" x14ac:dyDescent="0.3">
      <c r="B151" s="285"/>
      <c r="C151" s="304" t="s">
        <v>1457</v>
      </c>
      <c r="D151" s="332"/>
      <c r="E151" s="1679">
        <f>E144+E148</f>
        <v>0.56416676807185329</v>
      </c>
      <c r="F151" s="1679">
        <v>0.27165230576077931</v>
      </c>
      <c r="G151" s="1693"/>
      <c r="H151" s="1693"/>
    </row>
    <row r="152" spans="2:9" x14ac:dyDescent="0.3">
      <c r="B152" s="298"/>
      <c r="C152" s="299" t="s">
        <v>1458</v>
      </c>
      <c r="D152" s="1039"/>
      <c r="E152" s="1680">
        <f>E145+E149</f>
        <v>0.56416676807185329</v>
      </c>
      <c r="F152" s="1680">
        <v>0.27165230576077931</v>
      </c>
      <c r="G152" s="1693"/>
      <c r="H152" s="1693"/>
    </row>
    <row r="153" spans="2:9" x14ac:dyDescent="0.3">
      <c r="B153" s="1942" t="s">
        <v>355</v>
      </c>
      <c r="C153" s="1942"/>
      <c r="D153" s="304"/>
      <c r="E153" s="304"/>
      <c r="F153" s="304"/>
      <c r="G153" s="1030"/>
      <c r="H153" s="1030"/>
    </row>
    <row r="154" spans="2:9" x14ac:dyDescent="0.3">
      <c r="B154" s="304" t="str">
        <f>B69</f>
        <v>As per our Report of even date</v>
      </c>
      <c r="C154" s="304"/>
      <c r="D154" s="304" t="str">
        <f>D69</f>
        <v>For and on behalf of the Board of Directors</v>
      </c>
      <c r="E154" s="304"/>
      <c r="F154" s="304"/>
      <c r="G154" s="306"/>
      <c r="H154" s="1023"/>
    </row>
    <row r="155" spans="2:9" x14ac:dyDescent="0.3">
      <c r="B155" s="310" t="str">
        <f>B70</f>
        <v>For V Ravi &amp; Co.,</v>
      </c>
      <c r="C155" s="310"/>
      <c r="D155" s="310" t="str">
        <f>D70</f>
        <v>Arunjyoti Bio Ventures Limited</v>
      </c>
      <c r="E155" s="310"/>
      <c r="F155" s="310"/>
      <c r="G155" s="377"/>
      <c r="H155" s="849"/>
      <c r="I155" s="1023"/>
    </row>
    <row r="156" spans="2:9" x14ac:dyDescent="0.3">
      <c r="B156" s="304" t="str">
        <f>B71</f>
        <v>Chartered Accountants</v>
      </c>
      <c r="C156" s="304"/>
      <c r="D156" s="304"/>
      <c r="E156" s="304"/>
      <c r="F156" s="304"/>
      <c r="H156" s="849"/>
      <c r="I156" s="1023"/>
    </row>
    <row r="157" spans="2:9" x14ac:dyDescent="0.3">
      <c r="B157" s="304" t="str">
        <f>B72</f>
        <v>Firm Reg No:006492S</v>
      </c>
      <c r="C157" s="304"/>
      <c r="D157" s="304"/>
      <c r="E157" s="304"/>
      <c r="F157" s="304"/>
      <c r="H157" s="306"/>
      <c r="I157" s="1023"/>
    </row>
    <row r="158" spans="2:9" x14ac:dyDescent="0.3">
      <c r="B158" s="1024"/>
      <c r="C158" s="304"/>
      <c r="D158" s="304"/>
      <c r="E158" s="304"/>
      <c r="F158" s="304"/>
      <c r="H158" s="306"/>
      <c r="I158" s="1023"/>
    </row>
    <row r="159" spans="2:9" x14ac:dyDescent="0.3">
      <c r="B159" s="1024"/>
      <c r="C159" s="304"/>
      <c r="D159" s="310" t="str">
        <f>D74</f>
        <v>Pabbathi Badari Narayana Murthy</v>
      </c>
      <c r="E159" s="310"/>
      <c r="F159" s="310"/>
      <c r="H159" s="306"/>
      <c r="I159" s="1023"/>
    </row>
    <row r="160" spans="2:9" x14ac:dyDescent="0.3">
      <c r="B160" s="1024"/>
      <c r="C160" s="304"/>
      <c r="D160" s="304" t="str">
        <f>D75</f>
        <v>Wholetime Director</v>
      </c>
      <c r="E160" s="304"/>
      <c r="F160" s="304"/>
      <c r="H160" s="306"/>
      <c r="I160" s="1023"/>
    </row>
    <row r="161" spans="2:8" x14ac:dyDescent="0.3">
      <c r="B161" s="310" t="str">
        <f>B76</f>
        <v>Ramesh Kumar D</v>
      </c>
      <c r="C161" s="304"/>
      <c r="D161" s="304" t="str">
        <f>D76</f>
        <v>DIN:01445523</v>
      </c>
      <c r="E161" s="304"/>
      <c r="F161" s="304"/>
    </row>
    <row r="162" spans="2:8" x14ac:dyDescent="0.3">
      <c r="B162" s="304" t="str">
        <f>B77</f>
        <v>Partner</v>
      </c>
      <c r="C162" s="304"/>
    </row>
    <row r="163" spans="2:8" x14ac:dyDescent="0.3">
      <c r="B163" s="304" t="str">
        <f>B78</f>
        <v>Membership No: 217139</v>
      </c>
      <c r="C163" s="304"/>
    </row>
    <row r="164" spans="2:8" x14ac:dyDescent="0.3">
      <c r="B164" s="1193" t="str">
        <f>+B79</f>
        <v>UDIN: 22217139AJWDHY8894</v>
      </c>
      <c r="C164" s="304" t="s">
        <v>2418</v>
      </c>
    </row>
    <row r="165" spans="2:8" x14ac:dyDescent="0.3">
      <c r="B165" s="304"/>
      <c r="C165" s="304"/>
      <c r="D165" s="310" t="str">
        <f>D80</f>
        <v>Vishal Nadimpally</v>
      </c>
      <c r="E165" s="310"/>
      <c r="F165" s="310"/>
      <c r="G165" s="304"/>
      <c r="H165" s="304"/>
    </row>
    <row r="166" spans="2:8" x14ac:dyDescent="0.3">
      <c r="B166" s="304" t="str">
        <f>B81</f>
        <v>Place: Hyderabad</v>
      </c>
      <c r="C166" s="305"/>
      <c r="D166" s="304" t="str">
        <f>D81</f>
        <v>Wholetime Director Cum CFO</v>
      </c>
      <c r="E166" s="304"/>
      <c r="F166" s="304"/>
      <c r="G166" s="305"/>
      <c r="H166" s="304"/>
    </row>
    <row r="167" spans="2:8" x14ac:dyDescent="0.3">
      <c r="B167" s="1024" t="str">
        <f>B82</f>
        <v>Date : 29-05-2023</v>
      </c>
      <c r="C167" s="307"/>
      <c r="D167" s="304" t="str">
        <f>D82</f>
        <v>DIN:02745303</v>
      </c>
      <c r="E167" s="304"/>
      <c r="F167" s="304"/>
      <c r="G167" s="305"/>
      <c r="H167" s="304"/>
    </row>
    <row r="170" spans="2:8" x14ac:dyDescent="0.3">
      <c r="B170" s="1924" t="str">
        <f>B83</f>
        <v>Arunjyoti Bio Ventures Limited</v>
      </c>
      <c r="C170" s="1924"/>
      <c r="D170" s="1924"/>
      <c r="E170" s="1924"/>
      <c r="F170" s="1924"/>
      <c r="G170" s="287"/>
      <c r="H170" s="287"/>
    </row>
    <row r="171" spans="2:8" x14ac:dyDescent="0.3">
      <c r="B171" s="1924" t="str">
        <f>B84</f>
        <v>CIN NO: L01400TG1986PLC062463</v>
      </c>
      <c r="C171" s="1924"/>
      <c r="D171" s="1924"/>
      <c r="E171" s="1924"/>
      <c r="F171" s="1924"/>
      <c r="G171" s="287"/>
      <c r="H171" s="287"/>
    </row>
    <row r="172" spans="2:8" x14ac:dyDescent="0.3">
      <c r="B172" s="1927" t="str">
        <f>B85</f>
        <v>Plot No. 45, P &amp; T Colony, Karkhana Secunderabad Hyderabad TG 500009 IN</v>
      </c>
      <c r="C172" s="1927"/>
      <c r="D172" s="1927"/>
      <c r="E172" s="1927"/>
      <c r="F172" s="1927"/>
      <c r="G172" s="1815"/>
      <c r="H172" s="1815"/>
    </row>
    <row r="173" spans="2:8" x14ac:dyDescent="0.3">
      <c r="B173" s="1940" t="s">
        <v>2434</v>
      </c>
      <c r="C173" s="1941"/>
      <c r="D173" s="1941"/>
      <c r="E173" s="1941"/>
      <c r="F173" s="1941"/>
      <c r="G173" s="287"/>
      <c r="H173" s="287"/>
    </row>
    <row r="174" spans="2:8" x14ac:dyDescent="0.3">
      <c r="B174" s="288"/>
      <c r="C174" s="284"/>
      <c r="D174" s="1022"/>
      <c r="E174" s="1022"/>
      <c r="F174" s="1022"/>
      <c r="G174" s="849"/>
      <c r="H174" s="1656"/>
    </row>
    <row r="175" spans="2:8" ht="30" customHeight="1" x14ac:dyDescent="0.3">
      <c r="B175" s="1826"/>
      <c r="C175" s="1938"/>
      <c r="D175" s="1939"/>
      <c r="E175" s="1830" t="str">
        <f>E7</f>
        <v>As at Mar 31, 2023</v>
      </c>
      <c r="F175" s="1816" t="s">
        <v>2370</v>
      </c>
      <c r="G175" s="1823"/>
      <c r="H175" s="1824"/>
    </row>
    <row r="176" spans="2:8" x14ac:dyDescent="0.3">
      <c r="B176" s="457" t="s">
        <v>1976</v>
      </c>
      <c r="C176" s="585" t="s">
        <v>2025</v>
      </c>
      <c r="D176" s="1040"/>
      <c r="E176" s="1040"/>
      <c r="F176" s="586"/>
      <c r="G176" s="816"/>
      <c r="H176" s="337"/>
    </row>
    <row r="177" spans="2:8" x14ac:dyDescent="0.3">
      <c r="B177" s="596"/>
      <c r="C177" s="541" t="s">
        <v>277</v>
      </c>
      <c r="D177" s="1041"/>
      <c r="E177" s="809">
        <f>E114</f>
        <v>1578827.9600000009</v>
      </c>
      <c r="F177" s="1681">
        <v>760221.75999999791</v>
      </c>
      <c r="G177" s="817"/>
      <c r="H177" s="817"/>
    </row>
    <row r="178" spans="2:8" x14ac:dyDescent="0.3">
      <c r="B178" s="596"/>
      <c r="C178" s="540" t="s">
        <v>1486</v>
      </c>
      <c r="D178" s="1042"/>
      <c r="E178" s="1527"/>
      <c r="F178" s="1682"/>
      <c r="G178" s="816"/>
      <c r="H178" s="1694"/>
    </row>
    <row r="179" spans="2:8" x14ac:dyDescent="0.3">
      <c r="B179" s="596"/>
      <c r="C179" s="1831" t="s">
        <v>1467</v>
      </c>
      <c r="D179" s="566"/>
      <c r="E179" s="809">
        <v>0</v>
      </c>
      <c r="F179" s="1681">
        <v>0</v>
      </c>
      <c r="G179" s="1832"/>
      <c r="H179" s="1833"/>
    </row>
    <row r="180" spans="2:8" x14ac:dyDescent="0.3">
      <c r="B180" s="596"/>
      <c r="C180" s="1831" t="s">
        <v>1468</v>
      </c>
      <c r="D180" s="566"/>
      <c r="E180" s="809">
        <v>0</v>
      </c>
      <c r="F180" s="1681">
        <v>0</v>
      </c>
      <c r="G180" s="817"/>
      <c r="H180" s="1695"/>
    </row>
    <row r="181" spans="2:8" x14ac:dyDescent="0.3">
      <c r="B181" s="596"/>
      <c r="C181" s="1831" t="s">
        <v>1469</v>
      </c>
      <c r="D181" s="566"/>
      <c r="E181" s="809">
        <v>0</v>
      </c>
      <c r="F181" s="1681">
        <v>0</v>
      </c>
      <c r="G181" s="817"/>
      <c r="H181" s="1695"/>
    </row>
    <row r="182" spans="2:8" x14ac:dyDescent="0.3">
      <c r="B182" s="596"/>
      <c r="C182" s="1831" t="s">
        <v>1470</v>
      </c>
      <c r="D182" s="566"/>
      <c r="E182" s="1783">
        <v>0</v>
      </c>
      <c r="F182" s="1681">
        <v>0</v>
      </c>
      <c r="G182" s="817"/>
      <c r="H182" s="306"/>
    </row>
    <row r="183" spans="2:8" x14ac:dyDescent="0.3">
      <c r="B183" s="596"/>
      <c r="C183" s="1831" t="s">
        <v>1471</v>
      </c>
      <c r="D183" s="566"/>
      <c r="E183" s="1783">
        <v>0</v>
      </c>
      <c r="F183" s="1681">
        <v>0</v>
      </c>
      <c r="G183" s="1832"/>
      <c r="H183" s="1834"/>
    </row>
    <row r="184" spans="2:8" x14ac:dyDescent="0.3">
      <c r="B184" s="596"/>
      <c r="C184" s="1831" t="s">
        <v>1472</v>
      </c>
      <c r="D184" s="566"/>
      <c r="E184" s="1783">
        <v>0</v>
      </c>
      <c r="F184" s="1681">
        <v>0</v>
      </c>
      <c r="G184" s="1832"/>
      <c r="H184" s="1834"/>
    </row>
    <row r="185" spans="2:8" ht="46.8" x14ac:dyDescent="0.3">
      <c r="B185" s="596"/>
      <c r="C185" s="1835" t="s">
        <v>1473</v>
      </c>
      <c r="D185" s="566"/>
      <c r="E185" s="1783">
        <v>0</v>
      </c>
      <c r="F185" s="1681">
        <v>0</v>
      </c>
      <c r="G185" s="1832"/>
      <c r="H185" s="1834"/>
    </row>
    <row r="186" spans="2:8" ht="31.2" x14ac:dyDescent="0.3">
      <c r="B186" s="596"/>
      <c r="C186" s="1835" t="s">
        <v>1474</v>
      </c>
      <c r="D186" s="566"/>
      <c r="E186" s="1783">
        <v>0</v>
      </c>
      <c r="F186" s="1681">
        <v>0</v>
      </c>
      <c r="G186" s="1832"/>
      <c r="H186" s="1834"/>
    </row>
    <row r="187" spans="2:8" x14ac:dyDescent="0.3">
      <c r="B187" s="596"/>
      <c r="C187" s="1831" t="s">
        <v>1475</v>
      </c>
      <c r="D187" s="566"/>
      <c r="E187" s="1783">
        <v>0</v>
      </c>
      <c r="F187" s="1681">
        <v>0</v>
      </c>
      <c r="G187" s="1832"/>
      <c r="H187" s="1834"/>
    </row>
    <row r="188" spans="2:8" x14ac:dyDescent="0.3">
      <c r="B188" s="596"/>
      <c r="C188" s="1831" t="s">
        <v>1476</v>
      </c>
      <c r="D188" s="566"/>
      <c r="E188" s="1783">
        <v>0</v>
      </c>
      <c r="F188" s="1681">
        <v>0</v>
      </c>
      <c r="G188" s="1832"/>
      <c r="H188" s="1834"/>
    </row>
    <row r="189" spans="2:8" x14ac:dyDescent="0.3">
      <c r="B189" s="596"/>
      <c r="C189" s="1831" t="s">
        <v>1477</v>
      </c>
      <c r="D189" s="566"/>
      <c r="E189" s="1783">
        <v>0</v>
      </c>
      <c r="F189" s="1681">
        <v>0</v>
      </c>
      <c r="G189" s="1832"/>
      <c r="H189" s="1834"/>
    </row>
    <row r="190" spans="2:8" x14ac:dyDescent="0.3">
      <c r="B190" s="596"/>
      <c r="C190" s="1831" t="s">
        <v>1478</v>
      </c>
      <c r="D190" s="566"/>
      <c r="E190" s="1783">
        <v>0</v>
      </c>
      <c r="F190" s="1681">
        <v>0</v>
      </c>
      <c r="G190" s="1832"/>
      <c r="H190" s="1834"/>
    </row>
    <row r="191" spans="2:8" x14ac:dyDescent="0.3">
      <c r="B191" s="596"/>
      <c r="C191" s="1831" t="s">
        <v>1479</v>
      </c>
      <c r="D191" s="566"/>
      <c r="E191" s="809">
        <v>0</v>
      </c>
      <c r="F191" s="1681">
        <v>0</v>
      </c>
      <c r="G191" s="1832"/>
      <c r="H191" s="1834"/>
    </row>
    <row r="192" spans="2:8" x14ac:dyDescent="0.3">
      <c r="B192" s="596"/>
      <c r="C192" s="1831" t="s">
        <v>1480</v>
      </c>
      <c r="D192" s="566"/>
      <c r="E192" s="1783">
        <v>0</v>
      </c>
      <c r="F192" s="1681">
        <v>0</v>
      </c>
      <c r="G192" s="817"/>
      <c r="H192" s="1695"/>
    </row>
    <row r="193" spans="2:10" x14ac:dyDescent="0.3">
      <c r="B193" s="596"/>
      <c r="C193" s="1831" t="s">
        <v>2298</v>
      </c>
      <c r="D193" s="566"/>
      <c r="E193" s="1783">
        <v>0</v>
      </c>
      <c r="F193" s="1681">
        <v>0</v>
      </c>
      <c r="G193" s="1832"/>
      <c r="H193" s="1834"/>
    </row>
    <row r="194" spans="2:10" x14ac:dyDescent="0.3">
      <c r="B194" s="596"/>
      <c r="C194" s="1831" t="s">
        <v>1482</v>
      </c>
      <c r="D194" s="566"/>
      <c r="E194" s="1783">
        <v>0</v>
      </c>
      <c r="F194" s="1681">
        <v>0</v>
      </c>
      <c r="G194" s="1832"/>
      <c r="H194" s="1834"/>
    </row>
    <row r="195" spans="2:10" ht="31.2" x14ac:dyDescent="0.3">
      <c r="B195" s="596"/>
      <c r="C195" s="1835" t="s">
        <v>1483</v>
      </c>
      <c r="D195" s="566"/>
      <c r="E195" s="1783">
        <v>0</v>
      </c>
      <c r="F195" s="1681">
        <v>0</v>
      </c>
      <c r="G195" s="1832"/>
      <c r="H195" s="1834"/>
    </row>
    <row r="196" spans="2:10" ht="31.2" x14ac:dyDescent="0.3">
      <c r="B196" s="596"/>
      <c r="C196" s="1835" t="s">
        <v>1484</v>
      </c>
      <c r="D196" s="566"/>
      <c r="E196" s="1783">
        <v>0</v>
      </c>
      <c r="F196" s="1681">
        <v>0</v>
      </c>
      <c r="G196" s="1832"/>
      <c r="H196" s="1834"/>
    </row>
    <row r="197" spans="2:10" x14ac:dyDescent="0.3">
      <c r="B197" s="596"/>
      <c r="C197" s="1831" t="s">
        <v>1485</v>
      </c>
      <c r="D197" s="566"/>
      <c r="E197" s="1784">
        <v>0</v>
      </c>
      <c r="F197" s="1785">
        <v>0</v>
      </c>
      <c r="G197" s="1832"/>
      <c r="H197" s="1834"/>
    </row>
    <row r="198" spans="2:10" x14ac:dyDescent="0.3">
      <c r="B198" s="596"/>
      <c r="C198" s="1051" t="s">
        <v>282</v>
      </c>
      <c r="D198" s="1043"/>
      <c r="E198" s="815">
        <f>SUM(E177:E197)</f>
        <v>1578827.9600000009</v>
      </c>
      <c r="F198" s="1683">
        <v>760221.75999999791</v>
      </c>
      <c r="G198" s="816"/>
      <c r="H198" s="601"/>
    </row>
    <row r="199" spans="2:10" x14ac:dyDescent="0.3">
      <c r="B199" s="596"/>
      <c r="C199" s="1051" t="s">
        <v>1498</v>
      </c>
      <c r="D199" s="1044"/>
      <c r="E199" s="1528"/>
      <c r="F199" s="1684"/>
      <c r="G199" s="817"/>
      <c r="H199" s="306"/>
    </row>
    <row r="200" spans="2:10" x14ac:dyDescent="0.3">
      <c r="B200" s="596"/>
      <c r="C200" s="1835" t="s">
        <v>1487</v>
      </c>
      <c r="D200" s="566"/>
      <c r="E200" s="1784">
        <f>F30-E30</f>
        <v>-2436438.8299999954</v>
      </c>
      <c r="F200" s="1785">
        <v>12989912.690000001</v>
      </c>
      <c r="G200" s="817"/>
      <c r="H200" s="1695"/>
    </row>
    <row r="201" spans="2:10" ht="31.2" x14ac:dyDescent="0.3">
      <c r="B201" s="596"/>
      <c r="C201" s="1835" t="s">
        <v>1488</v>
      </c>
      <c r="D201" s="566"/>
      <c r="E201" s="1784">
        <v>0</v>
      </c>
      <c r="F201" s="1681">
        <v>0</v>
      </c>
      <c r="G201" s="1832"/>
      <c r="H201" s="1695"/>
      <c r="J201" s="301"/>
    </row>
    <row r="202" spans="2:10" x14ac:dyDescent="0.3">
      <c r="B202" s="596"/>
      <c r="C202" s="1835" t="s">
        <v>1489</v>
      </c>
      <c r="D202" s="566"/>
      <c r="E202" s="1784">
        <f>F27-E27</f>
        <v>-8848423</v>
      </c>
      <c r="F202" s="1785">
        <v>259478</v>
      </c>
      <c r="G202" s="817"/>
      <c r="H202" s="1695"/>
    </row>
    <row r="203" spans="2:10" x14ac:dyDescent="0.3">
      <c r="B203" s="596"/>
      <c r="C203" s="1835" t="s">
        <v>1490</v>
      </c>
      <c r="D203" s="566"/>
      <c r="E203" s="1784">
        <f>F34-E34+E60-F60</f>
        <v>-20132736.68</v>
      </c>
      <c r="F203" s="1785">
        <v>-141557.9299999997</v>
      </c>
      <c r="G203" s="817"/>
      <c r="H203" s="1695"/>
    </row>
    <row r="204" spans="2:10" x14ac:dyDescent="0.3">
      <c r="B204" s="596"/>
      <c r="C204" s="1835" t="s">
        <v>1491</v>
      </c>
      <c r="D204" s="566"/>
      <c r="E204" s="1784">
        <f>E59-F59</f>
        <v>-167924.6</v>
      </c>
      <c r="F204" s="1785">
        <v>-12935286.4</v>
      </c>
      <c r="G204" s="817"/>
      <c r="H204" s="1695"/>
    </row>
    <row r="205" spans="2:10" ht="31.2" x14ac:dyDescent="0.3">
      <c r="B205" s="596"/>
      <c r="C205" s="1835" t="s">
        <v>1492</v>
      </c>
      <c r="D205" s="566"/>
      <c r="E205" s="1784">
        <v>0</v>
      </c>
      <c r="F205" s="1681">
        <v>0</v>
      </c>
      <c r="G205" s="1832"/>
      <c r="H205" s="1834"/>
    </row>
    <row r="206" spans="2:10" x14ac:dyDescent="0.3">
      <c r="B206" s="596"/>
      <c r="C206" s="1835" t="s">
        <v>1493</v>
      </c>
      <c r="D206" s="566"/>
      <c r="E206" s="1784">
        <f>E61-F61</f>
        <v>-239838</v>
      </c>
      <c r="F206" s="1785">
        <v>0</v>
      </c>
      <c r="G206" s="1832"/>
      <c r="H206" s="1834"/>
      <c r="J206" s="301"/>
    </row>
    <row r="207" spans="2:10" x14ac:dyDescent="0.3">
      <c r="B207" s="596"/>
      <c r="C207" s="1835" t="s">
        <v>1494</v>
      </c>
      <c r="D207" s="566"/>
      <c r="E207" s="1784">
        <v>0</v>
      </c>
      <c r="F207" s="1785">
        <v>0</v>
      </c>
      <c r="G207" s="1832"/>
      <c r="H207" s="1834"/>
    </row>
    <row r="208" spans="2:10" x14ac:dyDescent="0.3">
      <c r="B208" s="596"/>
      <c r="C208" s="1835" t="s">
        <v>1495</v>
      </c>
      <c r="D208" s="566"/>
      <c r="E208" s="1784">
        <f>E62-F62-748</f>
        <v>1883063.0199999998</v>
      </c>
      <c r="F208" s="1785">
        <v>-13710029.82</v>
      </c>
      <c r="G208" s="817"/>
      <c r="H208" s="1695"/>
      <c r="I208" s="297" t="s">
        <v>2410</v>
      </c>
    </row>
    <row r="209" spans="2:14" x14ac:dyDescent="0.3">
      <c r="B209" s="596"/>
      <c r="C209" s="1835"/>
      <c r="D209" s="566"/>
      <c r="E209" s="1784"/>
      <c r="F209" s="1785"/>
      <c r="G209" s="817"/>
      <c r="H209" s="1695"/>
      <c r="J209" s="301"/>
    </row>
    <row r="210" spans="2:14" x14ac:dyDescent="0.3">
      <c r="B210" s="596"/>
      <c r="C210" s="1836" t="s">
        <v>2167</v>
      </c>
      <c r="D210" s="566"/>
      <c r="E210" s="1784"/>
      <c r="F210" s="1785"/>
      <c r="G210" s="817"/>
      <c r="H210" s="1695"/>
    </row>
    <row r="211" spans="2:14" x14ac:dyDescent="0.3">
      <c r="B211" s="596"/>
      <c r="C211" s="1835" t="s">
        <v>2168</v>
      </c>
      <c r="D211" s="566"/>
      <c r="E211" s="1784">
        <f>F21-E21</f>
        <v>0</v>
      </c>
      <c r="F211" s="1681">
        <v>14866565.359999999</v>
      </c>
      <c r="G211" s="817"/>
      <c r="H211" s="1695"/>
    </row>
    <row r="212" spans="2:14" x14ac:dyDescent="0.3">
      <c r="B212" s="596"/>
      <c r="C212" s="1835" t="s">
        <v>2169</v>
      </c>
      <c r="D212" s="566"/>
      <c r="E212" s="1784">
        <v>0</v>
      </c>
      <c r="F212" s="1681">
        <v>0</v>
      </c>
      <c r="G212" s="817"/>
      <c r="H212" s="1695"/>
    </row>
    <row r="213" spans="2:14" x14ac:dyDescent="0.3">
      <c r="B213" s="596"/>
      <c r="C213" s="1835" t="s">
        <v>2170</v>
      </c>
      <c r="D213" s="566"/>
      <c r="E213" s="1784">
        <f>F23-E23</f>
        <v>-101867374.86000001</v>
      </c>
      <c r="F213" s="1681">
        <v>-9905078.7699999996</v>
      </c>
      <c r="G213" s="817"/>
      <c r="H213" s="1695"/>
    </row>
    <row r="214" spans="2:14" x14ac:dyDescent="0.3">
      <c r="B214" s="596"/>
      <c r="C214" s="1835"/>
      <c r="D214" s="566"/>
      <c r="E214" s="1784"/>
      <c r="F214" s="1785"/>
      <c r="G214" s="817"/>
      <c r="H214" s="1695"/>
      <c r="K214" s="297">
        <v>1940</v>
      </c>
    </row>
    <row r="215" spans="2:14" x14ac:dyDescent="0.3">
      <c r="B215" s="596"/>
      <c r="C215" s="574" t="s">
        <v>1496</v>
      </c>
      <c r="D215" s="1043"/>
      <c r="E215" s="815">
        <f>SUM(E198:E213)</f>
        <v>-130230844.99000001</v>
      </c>
      <c r="F215" s="1683">
        <v>-7815775.1100000013</v>
      </c>
      <c r="G215" s="816"/>
      <c r="H215" s="601"/>
    </row>
    <row r="216" spans="2:14" x14ac:dyDescent="0.3">
      <c r="B216" s="596"/>
      <c r="C216" s="1837" t="s">
        <v>2066</v>
      </c>
      <c r="D216" s="1045"/>
      <c r="E216" s="1529">
        <v>0</v>
      </c>
      <c r="F216" s="1685">
        <v>0</v>
      </c>
      <c r="G216" s="817"/>
      <c r="H216" s="306"/>
    </row>
    <row r="217" spans="2:14" x14ac:dyDescent="0.3">
      <c r="B217" s="596"/>
      <c r="C217" s="542" t="s">
        <v>291</v>
      </c>
      <c r="D217" s="1043"/>
      <c r="E217" s="808">
        <f>SUM(E215:E216)</f>
        <v>-130230844.99000001</v>
      </c>
      <c r="F217" s="1686">
        <v>-7815775.1100000013</v>
      </c>
      <c r="G217" s="816"/>
      <c r="H217" s="601"/>
      <c r="I217" s="301">
        <v>-3592225</v>
      </c>
      <c r="K217" s="297">
        <v>26566</v>
      </c>
    </row>
    <row r="218" spans="2:14" x14ac:dyDescent="0.3">
      <c r="B218" s="596"/>
      <c r="C218" s="1837" t="s">
        <v>2067</v>
      </c>
      <c r="D218" s="1046"/>
      <c r="E218" s="1530">
        <v>0</v>
      </c>
      <c r="F218" s="1687">
        <v>0</v>
      </c>
      <c r="G218" s="817"/>
      <c r="H218" s="306"/>
    </row>
    <row r="219" spans="2:14" x14ac:dyDescent="0.3">
      <c r="B219" s="596"/>
      <c r="C219" s="540" t="s">
        <v>293</v>
      </c>
      <c r="D219" s="1047"/>
      <c r="E219" s="815">
        <f>SUM(E217:E218)</f>
        <v>-130230844.99000001</v>
      </c>
      <c r="F219" s="1683">
        <v>-7815775.1100000013</v>
      </c>
      <c r="G219" s="816"/>
      <c r="H219" s="601"/>
      <c r="L219" s="297">
        <v>-26566</v>
      </c>
      <c r="N219" s="297">
        <v>748</v>
      </c>
    </row>
    <row r="220" spans="2:14" x14ac:dyDescent="0.3">
      <c r="B220" s="596"/>
      <c r="C220" s="540"/>
      <c r="D220" s="1047"/>
      <c r="E220" s="1531"/>
      <c r="F220" s="1688"/>
      <c r="G220" s="816"/>
      <c r="H220" s="601"/>
    </row>
    <row r="221" spans="2:14" x14ac:dyDescent="0.3">
      <c r="B221" s="596" t="s">
        <v>1977</v>
      </c>
      <c r="C221" s="540" t="s">
        <v>2026</v>
      </c>
      <c r="D221" s="1048"/>
      <c r="E221" s="1532"/>
      <c r="F221" s="825"/>
      <c r="G221" s="817"/>
      <c r="H221" s="306"/>
      <c r="J221" s="297">
        <v>-1257727</v>
      </c>
      <c r="K221" s="297">
        <v>0</v>
      </c>
    </row>
    <row r="222" spans="2:14" x14ac:dyDescent="0.3">
      <c r="B222" s="596"/>
      <c r="C222" s="1835" t="s">
        <v>1500</v>
      </c>
      <c r="D222" s="566"/>
      <c r="E222" s="1784">
        <v>0</v>
      </c>
      <c r="F222" s="1681">
        <v>0</v>
      </c>
      <c r="G222" s="817"/>
      <c r="H222" s="1695"/>
    </row>
    <row r="223" spans="2:14" x14ac:dyDescent="0.3">
      <c r="B223" s="596"/>
      <c r="C223" s="1835" t="s">
        <v>1501</v>
      </c>
      <c r="D223" s="566"/>
      <c r="E223" s="1784">
        <v>0</v>
      </c>
      <c r="F223" s="1681">
        <v>0</v>
      </c>
      <c r="G223" s="1832"/>
      <c r="H223" s="1834"/>
      <c r="M223" s="297">
        <v>27314</v>
      </c>
    </row>
    <row r="224" spans="2:14" x14ac:dyDescent="0.3">
      <c r="B224" s="596"/>
      <c r="C224" s="1835" t="s">
        <v>1502</v>
      </c>
      <c r="D224" s="566"/>
      <c r="E224" s="1784">
        <v>0</v>
      </c>
      <c r="F224" s="1681">
        <v>0</v>
      </c>
      <c r="G224" s="817"/>
      <c r="H224" s="1695"/>
      <c r="L224" s="297">
        <v>1285041</v>
      </c>
    </row>
    <row r="225" spans="2:8" x14ac:dyDescent="0.3">
      <c r="B225" s="596"/>
      <c r="C225" s="1835" t="s">
        <v>1503</v>
      </c>
      <c r="D225" s="566"/>
      <c r="E225" s="1784">
        <v>0</v>
      </c>
      <c r="F225" s="1681">
        <v>0</v>
      </c>
      <c r="G225" s="1832"/>
      <c r="H225" s="1834"/>
    </row>
    <row r="226" spans="2:8" x14ac:dyDescent="0.3">
      <c r="B226" s="596"/>
      <c r="C226" s="1835" t="s">
        <v>1504</v>
      </c>
      <c r="D226" s="566"/>
      <c r="E226" s="1784">
        <v>0</v>
      </c>
      <c r="F226" s="1681">
        <v>0</v>
      </c>
      <c r="G226" s="1832"/>
      <c r="H226" s="1834"/>
    </row>
    <row r="227" spans="2:8" x14ac:dyDescent="0.3">
      <c r="B227" s="596"/>
      <c r="C227" s="1835" t="s">
        <v>1505</v>
      </c>
      <c r="D227" s="566"/>
      <c r="E227" s="1784">
        <v>0</v>
      </c>
      <c r="F227" s="1681">
        <v>0</v>
      </c>
      <c r="G227" s="1832"/>
      <c r="H227" s="1834"/>
    </row>
    <row r="228" spans="2:8" x14ac:dyDescent="0.3">
      <c r="B228" s="596"/>
      <c r="C228" s="1835" t="s">
        <v>1506</v>
      </c>
      <c r="D228" s="566"/>
      <c r="E228" s="1784">
        <v>0</v>
      </c>
      <c r="F228" s="1681">
        <v>0</v>
      </c>
      <c r="G228" s="1832"/>
      <c r="H228" s="1834"/>
    </row>
    <row r="229" spans="2:8" x14ac:dyDescent="0.3">
      <c r="B229" s="596"/>
      <c r="C229" s="1835" t="s">
        <v>1507</v>
      </c>
      <c r="D229" s="566"/>
      <c r="E229" s="1784">
        <v>0</v>
      </c>
      <c r="F229" s="1681">
        <v>0</v>
      </c>
      <c r="G229" s="1832"/>
      <c r="H229" s="1834"/>
    </row>
    <row r="230" spans="2:8" x14ac:dyDescent="0.3">
      <c r="B230" s="596"/>
      <c r="C230" s="1835" t="s">
        <v>1508</v>
      </c>
      <c r="D230" s="566"/>
      <c r="E230" s="1784">
        <f>F12-E12</f>
        <v>-191872075.91000003</v>
      </c>
      <c r="F230" s="1681">
        <v>0</v>
      </c>
      <c r="G230" s="1832"/>
      <c r="H230" s="1696"/>
    </row>
    <row r="231" spans="2:8" x14ac:dyDescent="0.3">
      <c r="B231" s="596"/>
      <c r="C231" s="1835" t="s">
        <v>1509</v>
      </c>
      <c r="D231" s="566"/>
      <c r="E231" s="1784">
        <v>0</v>
      </c>
      <c r="F231" s="1681">
        <v>0</v>
      </c>
      <c r="G231" s="817"/>
      <c r="H231" s="1696"/>
    </row>
    <row r="232" spans="2:8" x14ac:dyDescent="0.3">
      <c r="B232" s="596"/>
      <c r="C232" s="1835" t="s">
        <v>1510</v>
      </c>
      <c r="D232" s="566"/>
      <c r="E232" s="1783">
        <v>0</v>
      </c>
      <c r="F232" s="1681">
        <v>0</v>
      </c>
      <c r="G232" s="1832"/>
      <c r="H232" s="1834"/>
    </row>
    <row r="233" spans="2:8" x14ac:dyDescent="0.3">
      <c r="B233" s="596"/>
      <c r="C233" s="1835" t="s">
        <v>1511</v>
      </c>
      <c r="D233" s="566"/>
      <c r="E233" s="1783">
        <v>0</v>
      </c>
      <c r="F233" s="1681">
        <v>0</v>
      </c>
      <c r="G233" s="1832"/>
      <c r="H233" s="1834"/>
    </row>
    <row r="234" spans="2:8" x14ac:dyDescent="0.3">
      <c r="B234" s="596"/>
      <c r="C234" s="1835" t="s">
        <v>1512</v>
      </c>
      <c r="D234" s="566"/>
      <c r="E234" s="1783">
        <v>0</v>
      </c>
      <c r="F234" s="1681">
        <v>0</v>
      </c>
      <c r="G234" s="1832"/>
      <c r="H234" s="1834"/>
    </row>
    <row r="235" spans="2:8" x14ac:dyDescent="0.3">
      <c r="B235" s="596"/>
      <c r="C235" s="1835" t="s">
        <v>1513</v>
      </c>
      <c r="D235" s="566"/>
      <c r="E235" s="1783">
        <v>0</v>
      </c>
      <c r="F235" s="1681">
        <v>0</v>
      </c>
      <c r="G235" s="1832"/>
      <c r="H235" s="1834"/>
    </row>
    <row r="236" spans="2:8" x14ac:dyDescent="0.3">
      <c r="B236" s="596"/>
      <c r="C236" s="1835" t="s">
        <v>1514</v>
      </c>
      <c r="D236" s="566"/>
      <c r="E236" s="1783">
        <v>0</v>
      </c>
      <c r="F236" s="1681">
        <v>0</v>
      </c>
      <c r="G236" s="1832"/>
      <c r="H236" s="1834"/>
    </row>
    <row r="237" spans="2:8" x14ac:dyDescent="0.3">
      <c r="B237" s="596"/>
      <c r="C237" s="1835" t="s">
        <v>1515</v>
      </c>
      <c r="D237" s="566"/>
      <c r="E237" s="1783">
        <v>0</v>
      </c>
      <c r="F237" s="1681">
        <v>0</v>
      </c>
      <c r="G237" s="1832"/>
      <c r="H237" s="1834"/>
    </row>
    <row r="238" spans="2:8" x14ac:dyDescent="0.3">
      <c r="B238" s="596"/>
      <c r="C238" s="540" t="s">
        <v>298</v>
      </c>
      <c r="D238" s="1047"/>
      <c r="E238" s="818">
        <f>SUM(E222:E237)</f>
        <v>-191872075.91000003</v>
      </c>
      <c r="F238" s="1681">
        <v>0</v>
      </c>
      <c r="G238" s="1688"/>
      <c r="H238" s="308"/>
    </row>
    <row r="239" spans="2:8" x14ac:dyDescent="0.3">
      <c r="B239" s="596"/>
      <c r="C239" s="543"/>
      <c r="D239" s="1048"/>
      <c r="E239" s="1532">
        <v>0</v>
      </c>
      <c r="F239" s="1681">
        <v>0</v>
      </c>
      <c r="G239" s="817"/>
      <c r="H239" s="313"/>
    </row>
    <row r="240" spans="2:8" x14ac:dyDescent="0.3">
      <c r="B240" s="457" t="s">
        <v>1978</v>
      </c>
      <c r="C240" s="585" t="s">
        <v>1530</v>
      </c>
      <c r="D240" s="1040"/>
      <c r="E240" s="1533"/>
      <c r="F240" s="1681"/>
      <c r="G240" s="817"/>
      <c r="H240" s="313"/>
    </row>
    <row r="241" spans="2:8" x14ac:dyDescent="0.3">
      <c r="B241" s="596"/>
      <c r="C241" s="1831" t="s">
        <v>1516</v>
      </c>
      <c r="D241" s="594"/>
      <c r="E241" s="1786">
        <f>E41-F41</f>
        <v>0</v>
      </c>
      <c r="F241" s="1681">
        <v>0</v>
      </c>
      <c r="G241" s="1785"/>
      <c r="H241" s="1838"/>
    </row>
    <row r="242" spans="2:8" x14ac:dyDescent="0.3">
      <c r="B242" s="596"/>
      <c r="C242" s="1831" t="s">
        <v>1528</v>
      </c>
      <c r="D242" s="594"/>
      <c r="E242" s="1786">
        <v>0</v>
      </c>
      <c r="F242" s="1681">
        <v>0</v>
      </c>
      <c r="G242" s="1785"/>
      <c r="H242" s="1838"/>
    </row>
    <row r="243" spans="2:8" x14ac:dyDescent="0.3">
      <c r="B243" s="596"/>
      <c r="C243" s="1831" t="s">
        <v>1517</v>
      </c>
      <c r="D243" s="594"/>
      <c r="E243" s="1786">
        <v>0</v>
      </c>
      <c r="F243" s="1681">
        <v>0</v>
      </c>
      <c r="G243" s="1785"/>
      <c r="H243" s="1838"/>
    </row>
    <row r="244" spans="2:8" x14ac:dyDescent="0.3">
      <c r="B244" s="596"/>
      <c r="C244" s="1831" t="s">
        <v>1529</v>
      </c>
      <c r="D244" s="594"/>
      <c r="E244" s="1786">
        <v>0</v>
      </c>
      <c r="F244" s="1681">
        <v>0</v>
      </c>
      <c r="G244" s="1785"/>
      <c r="H244" s="1838"/>
    </row>
    <row r="245" spans="2:8" x14ac:dyDescent="0.3">
      <c r="B245" s="596"/>
      <c r="C245" s="1831" t="s">
        <v>1518</v>
      </c>
      <c r="D245" s="594"/>
      <c r="E245" s="1786">
        <v>0</v>
      </c>
      <c r="F245" s="1681">
        <v>0</v>
      </c>
      <c r="G245" s="1785"/>
      <c r="H245" s="1838"/>
    </row>
    <row r="246" spans="2:8" x14ac:dyDescent="0.3">
      <c r="B246" s="596"/>
      <c r="C246" s="1831" t="s">
        <v>1519</v>
      </c>
      <c r="D246" s="594"/>
      <c r="E246" s="1786">
        <v>0</v>
      </c>
      <c r="F246" s="1681">
        <v>0</v>
      </c>
      <c r="G246" s="1785"/>
      <c r="H246" s="1838"/>
    </row>
    <row r="247" spans="2:8" x14ac:dyDescent="0.3">
      <c r="B247" s="596"/>
      <c r="C247" s="1831" t="s">
        <v>1520</v>
      </c>
      <c r="D247" s="594"/>
      <c r="E247" s="1786">
        <v>0</v>
      </c>
      <c r="F247" s="1681">
        <v>0</v>
      </c>
      <c r="G247" s="1785"/>
      <c r="H247" s="1838"/>
    </row>
    <row r="248" spans="2:8" x14ac:dyDescent="0.3">
      <c r="B248" s="596"/>
      <c r="C248" s="1831" t="s">
        <v>1521</v>
      </c>
      <c r="D248" s="594"/>
      <c r="E248" s="1786">
        <v>0</v>
      </c>
      <c r="F248" s="1681">
        <v>0</v>
      </c>
      <c r="G248" s="1785"/>
      <c r="H248" s="1838"/>
    </row>
    <row r="249" spans="2:8" x14ac:dyDescent="0.3">
      <c r="B249" s="596"/>
      <c r="C249" s="1839" t="s">
        <v>2097</v>
      </c>
      <c r="D249" s="547"/>
      <c r="E249" s="809">
        <f>E48-F48</f>
        <v>322717790</v>
      </c>
      <c r="F249" s="1681">
        <v>0</v>
      </c>
      <c r="G249" s="817"/>
      <c r="H249" s="1695"/>
    </row>
    <row r="250" spans="2:8" x14ac:dyDescent="0.3">
      <c r="B250" s="596"/>
      <c r="C250" s="1835" t="s">
        <v>1523</v>
      </c>
      <c r="D250" s="566"/>
      <c r="E250" s="1787">
        <v>0</v>
      </c>
      <c r="F250" s="1681">
        <v>0</v>
      </c>
      <c r="G250" s="826"/>
      <c r="H250" s="1692"/>
    </row>
    <row r="251" spans="2:8" ht="31.2" x14ac:dyDescent="0.3">
      <c r="B251" s="596"/>
      <c r="C251" s="1835" t="s">
        <v>1524</v>
      </c>
      <c r="D251" s="566"/>
      <c r="E251" s="1787">
        <v>0</v>
      </c>
      <c r="F251" s="1681">
        <v>0</v>
      </c>
      <c r="G251" s="826"/>
      <c r="H251" s="1692"/>
    </row>
    <row r="252" spans="2:8" ht="31.2" x14ac:dyDescent="0.3">
      <c r="B252" s="596"/>
      <c r="C252" s="1835" t="s">
        <v>1525</v>
      </c>
      <c r="D252" s="566"/>
      <c r="E252" s="1787">
        <v>0</v>
      </c>
      <c r="F252" s="1681">
        <v>0</v>
      </c>
      <c r="G252" s="826"/>
      <c r="H252" s="1692"/>
    </row>
    <row r="253" spans="2:8" x14ac:dyDescent="0.3">
      <c r="B253" s="596"/>
      <c r="C253" s="1835" t="s">
        <v>1526</v>
      </c>
      <c r="D253" s="566"/>
      <c r="E253" s="1787">
        <v>0</v>
      </c>
      <c r="F253" s="1681">
        <v>0</v>
      </c>
      <c r="G253" s="826"/>
      <c r="H253" s="1692"/>
    </row>
    <row r="254" spans="2:8" x14ac:dyDescent="0.3">
      <c r="B254" s="596"/>
      <c r="C254" s="1835" t="s">
        <v>1527</v>
      </c>
      <c r="D254" s="566"/>
      <c r="E254" s="809">
        <v>0</v>
      </c>
      <c r="F254" s="1681">
        <v>0</v>
      </c>
      <c r="G254" s="817"/>
      <c r="H254" s="1695"/>
    </row>
    <row r="255" spans="2:8" x14ac:dyDescent="0.3">
      <c r="B255" s="596"/>
      <c r="C255" s="1835" t="s">
        <v>260</v>
      </c>
      <c r="D255" s="566"/>
      <c r="E255" s="809">
        <v>0</v>
      </c>
      <c r="F255" s="1681">
        <v>0</v>
      </c>
      <c r="G255" s="817"/>
      <c r="H255" s="1695"/>
    </row>
    <row r="256" spans="2:8" x14ac:dyDescent="0.3">
      <c r="B256" s="596"/>
      <c r="C256" s="540" t="s">
        <v>301</v>
      </c>
      <c r="D256" s="340"/>
      <c r="E256" s="808">
        <f>SUM(E241:E255)</f>
        <v>322717790</v>
      </c>
      <c r="F256" s="817">
        <v>0</v>
      </c>
      <c r="G256" s="816"/>
      <c r="H256" s="816"/>
    </row>
    <row r="257" spans="2:11" x14ac:dyDescent="0.3">
      <c r="B257" s="596"/>
      <c r="C257" s="543"/>
      <c r="D257" s="1048"/>
      <c r="E257" s="1532"/>
      <c r="F257" s="825"/>
      <c r="G257" s="817"/>
      <c r="H257" s="308"/>
    </row>
    <row r="258" spans="2:11" x14ac:dyDescent="0.3">
      <c r="B258" s="596"/>
      <c r="C258" s="540" t="s">
        <v>302</v>
      </c>
      <c r="D258" s="1047"/>
      <c r="E258" s="815">
        <f>E219+E238+E256</f>
        <v>614869.09999996424</v>
      </c>
      <c r="F258" s="1683">
        <v>-7815775.1100000013</v>
      </c>
      <c r="G258" s="816"/>
      <c r="H258" s="816"/>
    </row>
    <row r="259" spans="2:11" ht="46.8" x14ac:dyDescent="0.3">
      <c r="B259" s="596"/>
      <c r="C259" s="592" t="s">
        <v>2427</v>
      </c>
      <c r="D259" s="1048"/>
      <c r="E259" s="1532">
        <f>+F265</f>
        <v>73613.05</v>
      </c>
      <c r="F259" s="825">
        <v>8087045</v>
      </c>
      <c r="G259" s="817"/>
      <c r="H259" s="817"/>
    </row>
    <row r="260" spans="2:11" ht="31.2" x14ac:dyDescent="0.3">
      <c r="B260" s="596"/>
      <c r="C260" s="588" t="s">
        <v>1531</v>
      </c>
      <c r="D260" s="1047"/>
      <c r="E260" s="1531">
        <v>0</v>
      </c>
      <c r="F260" s="1688">
        <v>0</v>
      </c>
      <c r="G260" s="816"/>
      <c r="H260" s="816"/>
    </row>
    <row r="261" spans="2:11" ht="31.2" x14ac:dyDescent="0.3">
      <c r="B261" s="453"/>
      <c r="C261" s="1049" t="s">
        <v>2428</v>
      </c>
      <c r="D261" s="1050"/>
      <c r="E261" s="815">
        <f>E258+E259+E260</f>
        <v>688482.14999996428</v>
      </c>
      <c r="F261" s="1683">
        <v>271269.88999999873</v>
      </c>
      <c r="G261" s="816"/>
      <c r="H261" s="816"/>
      <c r="J261" s="301"/>
      <c r="K261" s="301"/>
    </row>
    <row r="262" spans="2:11" ht="15.6" customHeight="1" x14ac:dyDescent="0.3">
      <c r="B262" s="1932" t="s">
        <v>1534</v>
      </c>
      <c r="C262" s="1932"/>
      <c r="D262" s="1932"/>
      <c r="E262" s="1932"/>
      <c r="F262" s="1932"/>
      <c r="G262" s="396"/>
      <c r="H262" s="396"/>
      <c r="I262" s="301"/>
    </row>
    <row r="263" spans="2:11" x14ac:dyDescent="0.3">
      <c r="B263" s="1053" t="s">
        <v>2332</v>
      </c>
      <c r="C263" s="458"/>
      <c r="D263" s="1052"/>
      <c r="E263" s="1788">
        <f>Sch!D178</f>
        <v>252169.08</v>
      </c>
      <c r="F263" s="1789">
        <v>73613.05</v>
      </c>
      <c r="G263" s="826"/>
      <c r="H263" s="826"/>
    </row>
    <row r="264" spans="2:11" x14ac:dyDescent="0.3">
      <c r="B264" s="564" t="s">
        <v>2098</v>
      </c>
      <c r="D264" s="553"/>
      <c r="E264" s="553"/>
      <c r="F264" s="553"/>
      <c r="G264" s="826"/>
      <c r="H264" s="826"/>
    </row>
    <row r="265" spans="2:11" x14ac:dyDescent="0.3">
      <c r="B265" s="1054" t="s">
        <v>1536</v>
      </c>
      <c r="C265" s="1055"/>
      <c r="D265" s="600"/>
      <c r="E265" s="1790">
        <f>E263+E264</f>
        <v>252169.08</v>
      </c>
      <c r="F265" s="1791">
        <v>73613.05</v>
      </c>
      <c r="G265" s="1690"/>
      <c r="H265" s="1690"/>
    </row>
    <row r="266" spans="2:11" x14ac:dyDescent="0.3">
      <c r="B266" s="297" t="str">
        <f>B153</f>
        <v>The notes are an integral part of the financial statements</v>
      </c>
      <c r="C266" s="337"/>
      <c r="E266" s="301"/>
      <c r="G266" s="817"/>
      <c r="H266" s="1031"/>
    </row>
    <row r="267" spans="2:11" x14ac:dyDescent="0.3">
      <c r="B267" s="297" t="str">
        <f>B154</f>
        <v>As per our Report of even date</v>
      </c>
      <c r="D267" s="377" t="str">
        <f>D154</f>
        <v>For and on behalf of the Board of Directors</v>
      </c>
      <c r="E267" s="377"/>
      <c r="F267" s="377"/>
    </row>
    <row r="268" spans="2:11" x14ac:dyDescent="0.3">
      <c r="B268" s="377" t="str">
        <f>B155</f>
        <v>For V Ravi &amp; Co.,</v>
      </c>
      <c r="D268" s="297" t="str">
        <f>D155</f>
        <v>Arunjyoti Bio Ventures Limited</v>
      </c>
    </row>
    <row r="269" spans="2:11" x14ac:dyDescent="0.3">
      <c r="B269" s="297" t="str">
        <f>B156</f>
        <v>Chartered Accountants</v>
      </c>
    </row>
    <row r="270" spans="2:11" x14ac:dyDescent="0.3">
      <c r="B270" s="297" t="str">
        <f>B157</f>
        <v>Firm Reg No:006492S</v>
      </c>
    </row>
    <row r="272" spans="2:11" x14ac:dyDescent="0.3">
      <c r="D272" s="377" t="str">
        <f>D159</f>
        <v>Pabbathi Badari Narayana Murthy</v>
      </c>
      <c r="E272" s="377"/>
      <c r="F272" s="377"/>
    </row>
    <row r="273" spans="2:6" x14ac:dyDescent="0.3">
      <c r="D273" s="297" t="str">
        <f>D160</f>
        <v>Wholetime Director</v>
      </c>
    </row>
    <row r="274" spans="2:6" x14ac:dyDescent="0.3">
      <c r="B274" s="377" t="str">
        <f>B161</f>
        <v>Ramesh Kumar D</v>
      </c>
      <c r="D274" s="297" t="str">
        <f>D161</f>
        <v>DIN:01445523</v>
      </c>
    </row>
    <row r="275" spans="2:6" x14ac:dyDescent="0.3">
      <c r="B275" s="297" t="str">
        <f>B162</f>
        <v>Partner</v>
      </c>
    </row>
    <row r="276" spans="2:6" x14ac:dyDescent="0.3">
      <c r="B276" s="297" t="str">
        <f>B163</f>
        <v>Membership No: 217139</v>
      </c>
    </row>
    <row r="277" spans="2:6" x14ac:dyDescent="0.3">
      <c r="B277" s="1194" t="str">
        <f>+B164</f>
        <v>UDIN: 22217139AJWDHY8894</v>
      </c>
    </row>
    <row r="278" spans="2:6" x14ac:dyDescent="0.3">
      <c r="D278" s="377" t="str">
        <f>D165</f>
        <v>Vishal Nadimpally</v>
      </c>
      <c r="E278" s="377"/>
      <c r="F278" s="377"/>
    </row>
    <row r="279" spans="2:6" x14ac:dyDescent="0.3">
      <c r="B279" s="297" t="str">
        <f>B166</f>
        <v>Place: Hyderabad</v>
      </c>
      <c r="D279" s="297" t="str">
        <f>D166</f>
        <v>Wholetime Director Cum CFO</v>
      </c>
    </row>
    <row r="280" spans="2:6" x14ac:dyDescent="0.3">
      <c r="B280" s="297" t="str">
        <f>B167</f>
        <v>Date : 29-05-2023</v>
      </c>
      <c r="D280" s="297" t="str">
        <f>D167</f>
        <v>DIN:02745303</v>
      </c>
    </row>
  </sheetData>
  <mergeCells count="18">
    <mergeCell ref="B262:F262"/>
    <mergeCell ref="B6:F6"/>
    <mergeCell ref="B87:F87"/>
    <mergeCell ref="C175:D175"/>
    <mergeCell ref="B86:F86"/>
    <mergeCell ref="B170:F170"/>
    <mergeCell ref="B172:F172"/>
    <mergeCell ref="B171:F171"/>
    <mergeCell ref="B173:F173"/>
    <mergeCell ref="B68:C68"/>
    <mergeCell ref="B153:C153"/>
    <mergeCell ref="B84:F84"/>
    <mergeCell ref="B85:F85"/>
    <mergeCell ref="B2:F2"/>
    <mergeCell ref="B3:F3"/>
    <mergeCell ref="B4:F4"/>
    <mergeCell ref="B5:F5"/>
    <mergeCell ref="B83:F83"/>
  </mergeCells>
  <printOptions horizontalCentered="1" verticalCentered="1"/>
  <pageMargins left="0.25" right="0.25" top="0.75" bottom="0.75" header="0.3" footer="0.3"/>
  <pageSetup paperSize="9" scale="54" orientation="portrait" r:id="rId1"/>
  <rowBreaks count="3" manualBreakCount="3">
    <brk id="82" min="1" max="5" man="1"/>
    <brk id="169" min="1" max="5" man="1"/>
    <brk id="238" min="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topLeftCell="A13" workbookViewId="0">
      <selection activeCell="H31" sqref="H31"/>
    </sheetView>
  </sheetViews>
  <sheetFormatPr defaultRowHeight="14.4" x14ac:dyDescent="0.3"/>
  <cols>
    <col min="8" max="8" width="13.6640625" customWidth="1"/>
  </cols>
  <sheetData>
    <row r="1" spans="1:8" x14ac:dyDescent="0.3">
      <c r="A1" s="1485" t="s">
        <v>2252</v>
      </c>
      <c r="B1" s="1486"/>
      <c r="C1" s="1486"/>
      <c r="D1" s="1486"/>
      <c r="E1" s="1486"/>
      <c r="F1" s="1486"/>
      <c r="G1" s="1487"/>
      <c r="H1" s="1488"/>
    </row>
    <row r="2" spans="1:8" x14ac:dyDescent="0.3">
      <c r="A2" s="1943" t="s">
        <v>2253</v>
      </c>
      <c r="B2" s="1944"/>
      <c r="C2" s="1944"/>
      <c r="D2" s="1944"/>
      <c r="E2" s="1944"/>
      <c r="F2" s="1944"/>
      <c r="G2" s="1944"/>
      <c r="H2" s="1945"/>
    </row>
    <row r="3" spans="1:8" x14ac:dyDescent="0.3">
      <c r="A3" s="1489"/>
      <c r="B3" s="1490"/>
      <c r="C3" s="1490"/>
      <c r="D3" s="1490"/>
      <c r="E3" s="1490"/>
      <c r="F3" s="1490"/>
      <c r="G3" s="1491"/>
      <c r="H3" s="1492"/>
    </row>
    <row r="4" spans="1:8" x14ac:dyDescent="0.3">
      <c r="A4" s="1493" t="s">
        <v>510</v>
      </c>
      <c r="B4" s="1494"/>
      <c r="C4" s="1494"/>
      <c r="D4" s="1494"/>
      <c r="E4" s="1494"/>
      <c r="F4" s="1495" t="s">
        <v>2254</v>
      </c>
      <c r="G4" s="1496"/>
      <c r="H4" s="1497"/>
    </row>
    <row r="5" spans="1:8" x14ac:dyDescent="0.3">
      <c r="A5" s="1493" t="s">
        <v>511</v>
      </c>
      <c r="B5" s="1494"/>
      <c r="C5" s="1494"/>
      <c r="D5" s="1494"/>
      <c r="E5" s="1494"/>
      <c r="F5" s="1946" t="s">
        <v>2255</v>
      </c>
      <c r="G5" s="1946"/>
      <c r="H5" s="1947"/>
    </row>
    <row r="6" spans="1:8" x14ac:dyDescent="0.3">
      <c r="A6" s="1493"/>
      <c r="B6" s="1494"/>
      <c r="C6" s="1494"/>
      <c r="D6" s="1494"/>
      <c r="E6" s="1494"/>
      <c r="F6" s="1946"/>
      <c r="G6" s="1946"/>
      <c r="H6" s="1947"/>
    </row>
    <row r="7" spans="1:8" x14ac:dyDescent="0.3">
      <c r="A7" s="1493"/>
      <c r="B7" s="1494"/>
      <c r="C7" s="1494"/>
      <c r="D7" s="1494"/>
      <c r="E7" s="1494"/>
      <c r="F7" s="1946"/>
      <c r="G7" s="1946"/>
      <c r="H7" s="1947"/>
    </row>
    <row r="8" spans="1:8" x14ac:dyDescent="0.3">
      <c r="A8" s="1493" t="s">
        <v>517</v>
      </c>
      <c r="B8" s="1494"/>
      <c r="C8" s="1494"/>
      <c r="D8" s="1494"/>
      <c r="E8" s="1494"/>
      <c r="F8" s="1946"/>
      <c r="G8" s="1946"/>
      <c r="H8" s="1947"/>
    </row>
    <row r="9" spans="1:8" x14ac:dyDescent="0.3">
      <c r="A9" s="1493" t="s">
        <v>2256</v>
      </c>
      <c r="B9" s="1494"/>
      <c r="C9" s="1494"/>
      <c r="D9" s="1494"/>
      <c r="E9" s="1494"/>
      <c r="F9" s="1494"/>
      <c r="G9" s="1496"/>
      <c r="H9" s="1497"/>
    </row>
    <row r="10" spans="1:8" x14ac:dyDescent="0.3">
      <c r="A10" s="1493" t="s">
        <v>516</v>
      </c>
      <c r="B10" s="1494"/>
      <c r="C10" s="1494"/>
      <c r="D10" s="1494"/>
      <c r="E10" s="1494"/>
      <c r="F10" s="1494" t="s">
        <v>2257</v>
      </c>
      <c r="G10" s="1496"/>
      <c r="H10" s="1497"/>
    </row>
    <row r="11" spans="1:8" x14ac:dyDescent="0.3">
      <c r="A11" s="1493" t="s">
        <v>2258</v>
      </c>
      <c r="B11" s="1494"/>
      <c r="C11" s="1494"/>
      <c r="D11" s="1494"/>
      <c r="E11" s="1494"/>
      <c r="F11" s="1494"/>
      <c r="G11" s="1496"/>
      <c r="H11" s="1497"/>
    </row>
    <row r="12" spans="1:8" x14ac:dyDescent="0.3">
      <c r="A12" s="1493" t="s">
        <v>2259</v>
      </c>
      <c r="B12" s="1494"/>
      <c r="C12" s="1494"/>
      <c r="D12" s="1494"/>
      <c r="E12" s="1494"/>
      <c r="F12" s="1494" t="s">
        <v>2285</v>
      </c>
      <c r="G12" s="1496"/>
      <c r="H12" s="1497"/>
    </row>
    <row r="13" spans="1:8" x14ac:dyDescent="0.3">
      <c r="A13" s="1493" t="s">
        <v>514</v>
      </c>
      <c r="B13" s="1494"/>
      <c r="C13" s="1494"/>
      <c r="D13" s="1494"/>
      <c r="E13" s="1494"/>
      <c r="F13" s="1494" t="s">
        <v>2286</v>
      </c>
      <c r="G13" s="1496"/>
      <c r="H13" s="1497"/>
    </row>
    <row r="14" spans="1:8" x14ac:dyDescent="0.3">
      <c r="A14" s="1948" t="s">
        <v>215</v>
      </c>
      <c r="B14" s="1949"/>
      <c r="C14" s="1949"/>
      <c r="D14" s="1949"/>
      <c r="E14" s="1949"/>
      <c r="F14" s="1949"/>
      <c r="G14" s="1498" t="s">
        <v>2260</v>
      </c>
      <c r="H14" s="1499" t="s">
        <v>2260</v>
      </c>
    </row>
    <row r="15" spans="1:8" x14ac:dyDescent="0.3">
      <c r="A15" s="1950"/>
      <c r="B15" s="1951"/>
      <c r="C15" s="1951"/>
      <c r="D15" s="1951"/>
      <c r="E15" s="1951"/>
      <c r="F15" s="1951"/>
      <c r="G15" s="1500"/>
      <c r="H15" s="1501"/>
    </row>
    <row r="16" spans="1:8" x14ac:dyDescent="0.3">
      <c r="A16" s="1493"/>
      <c r="B16" s="1494"/>
      <c r="C16" s="1494"/>
      <c r="D16" s="1494"/>
      <c r="E16" s="1494"/>
      <c r="F16" s="1494"/>
      <c r="G16" s="1496"/>
      <c r="H16" s="1497"/>
    </row>
    <row r="17" spans="1:8" x14ac:dyDescent="0.3">
      <c r="A17" s="1493" t="s">
        <v>2261</v>
      </c>
      <c r="B17" s="1494"/>
      <c r="C17" s="1494"/>
      <c r="D17" s="1494"/>
      <c r="E17" s="1494"/>
      <c r="F17" s="1494"/>
      <c r="G17" s="1496"/>
      <c r="H17" s="1497">
        <f>'BS PL CFL'!F114</f>
        <v>760221.75999999791</v>
      </c>
    </row>
    <row r="18" spans="1:8" x14ac:dyDescent="0.3">
      <c r="A18" s="1493"/>
      <c r="B18" s="1494"/>
      <c r="C18" s="1494"/>
      <c r="D18" s="1494"/>
      <c r="E18" s="1494"/>
      <c r="F18" s="1494"/>
      <c r="G18" s="1496"/>
      <c r="H18" s="1497"/>
    </row>
    <row r="19" spans="1:8" x14ac:dyDescent="0.3">
      <c r="A19" s="1493" t="s">
        <v>2262</v>
      </c>
      <c r="B19" s="1494"/>
      <c r="C19" s="1494"/>
      <c r="D19" s="1494"/>
      <c r="E19" s="1494"/>
      <c r="F19" s="1494"/>
      <c r="G19" s="1496"/>
      <c r="H19" s="1497"/>
    </row>
    <row r="20" spans="1:8" x14ac:dyDescent="0.3">
      <c r="A20" s="1493" t="s">
        <v>2263</v>
      </c>
      <c r="B20" s="1494"/>
      <c r="C20" s="1494"/>
      <c r="D20" s="1494"/>
      <c r="E20" s="1494"/>
      <c r="F20" s="1494"/>
      <c r="G20" s="1496"/>
      <c r="H20" s="1497"/>
    </row>
    <row r="21" spans="1:8" x14ac:dyDescent="0.3">
      <c r="A21" s="1493" t="s">
        <v>2264</v>
      </c>
      <c r="B21" s="1494"/>
      <c r="C21" s="1494"/>
      <c r="D21" s="1494"/>
      <c r="E21" s="1494"/>
      <c r="F21" s="1494"/>
      <c r="G21" s="1496"/>
      <c r="H21" s="1497"/>
    </row>
    <row r="22" spans="1:8" x14ac:dyDescent="0.3">
      <c r="A22" s="1493"/>
      <c r="B22" s="1494"/>
      <c r="C22" s="1494"/>
      <c r="D22" s="1494"/>
      <c r="E22" s="1494"/>
      <c r="F22" s="1494"/>
      <c r="G22" s="1496"/>
      <c r="H22" s="1502">
        <f>H17+H19-H21+H20</f>
        <v>760221.75999999791</v>
      </c>
    </row>
    <row r="23" spans="1:8" x14ac:dyDescent="0.3">
      <c r="A23" s="1503" t="s">
        <v>2265</v>
      </c>
      <c r="B23" s="1494"/>
      <c r="C23" s="1494"/>
      <c r="D23" s="1494"/>
      <c r="E23" s="1494"/>
      <c r="F23" s="1494"/>
      <c r="G23" s="1496"/>
      <c r="H23" s="1497"/>
    </row>
    <row r="24" spans="1:8" x14ac:dyDescent="0.3">
      <c r="A24" s="1503"/>
      <c r="B24" s="1494"/>
      <c r="C24" s="1494"/>
      <c r="D24" s="1494"/>
      <c r="E24" s="1494"/>
      <c r="F24" s="1494"/>
      <c r="G24" s="1496"/>
      <c r="H24" s="1497">
        <f>H22-H23</f>
        <v>760221.75999999791</v>
      </c>
    </row>
    <row r="25" spans="1:8" x14ac:dyDescent="0.3">
      <c r="A25" s="1503"/>
      <c r="B25" s="1494"/>
      <c r="C25" s="1494"/>
      <c r="D25" s="1494"/>
      <c r="E25" s="1494"/>
      <c r="F25" s="1494"/>
      <c r="G25" s="1496"/>
      <c r="H25" s="1497"/>
    </row>
    <row r="26" spans="1:8" x14ac:dyDescent="0.3">
      <c r="A26" s="1503" t="s">
        <v>2266</v>
      </c>
      <c r="B26" s="1494"/>
      <c r="C26" s="1494"/>
      <c r="D26" s="1494"/>
      <c r="E26" s="1494"/>
      <c r="F26" s="1494"/>
      <c r="G26" s="1496"/>
      <c r="H26" s="1497">
        <f>H24</f>
        <v>760221.75999999791</v>
      </c>
    </row>
    <row r="27" spans="1:8" x14ac:dyDescent="0.3">
      <c r="A27" s="1493"/>
      <c r="B27" s="1494"/>
      <c r="C27" s="1494"/>
      <c r="D27" s="1494"/>
      <c r="E27" s="1494"/>
      <c r="F27" s="1494"/>
      <c r="G27" s="1496"/>
      <c r="H27" s="1497"/>
    </row>
    <row r="28" spans="1:8" x14ac:dyDescent="0.3">
      <c r="A28" s="1503" t="s">
        <v>2267</v>
      </c>
      <c r="B28" s="1494"/>
      <c r="C28" s="1494"/>
      <c r="D28" s="1494"/>
      <c r="E28" s="1494"/>
      <c r="F28" s="1494"/>
      <c r="G28" s="1496"/>
      <c r="H28" s="1497">
        <f>ROUND(H26,-1)</f>
        <v>760220</v>
      </c>
    </row>
    <row r="29" spans="1:8" x14ac:dyDescent="0.3">
      <c r="A29" s="1493" t="s">
        <v>2268</v>
      </c>
      <c r="B29" s="1494"/>
      <c r="C29" s="1494"/>
      <c r="D29" s="1494"/>
      <c r="E29" s="1494"/>
      <c r="F29" s="1494"/>
      <c r="G29" s="1496"/>
      <c r="H29" s="1504">
        <f>H28*25%</f>
        <v>190055</v>
      </c>
    </row>
    <row r="30" spans="1:8" x14ac:dyDescent="0.3">
      <c r="A30" s="1493" t="s">
        <v>2269</v>
      </c>
      <c r="B30" s="1494"/>
      <c r="C30" s="1494"/>
      <c r="D30" s="1494"/>
      <c r="E30" s="1494"/>
      <c r="F30" s="1494"/>
      <c r="G30" s="1496"/>
      <c r="H30" s="1497">
        <v>0</v>
      </c>
    </row>
    <row r="31" spans="1:8" x14ac:dyDescent="0.3">
      <c r="A31" s="1493" t="s">
        <v>2270</v>
      </c>
      <c r="B31" s="1494"/>
      <c r="C31" s="1494"/>
      <c r="D31" s="1494"/>
      <c r="E31" s="1494"/>
      <c r="F31" s="1494"/>
      <c r="G31" s="1496"/>
      <c r="H31" s="1492">
        <f>H29*4%</f>
        <v>7602.2</v>
      </c>
    </row>
    <row r="32" spans="1:8" x14ac:dyDescent="0.3">
      <c r="A32" s="1493"/>
      <c r="B32" s="1494"/>
      <c r="C32" s="1494"/>
      <c r="D32" s="1494"/>
      <c r="E32" s="1494"/>
      <c r="F32" s="1505" t="s">
        <v>1976</v>
      </c>
      <c r="G32" s="1496"/>
      <c r="H32" s="1502">
        <f>H29+H31</f>
        <v>197657.2</v>
      </c>
    </row>
    <row r="33" spans="1:8" x14ac:dyDescent="0.3">
      <c r="A33" s="1493"/>
      <c r="B33" s="1494"/>
      <c r="C33" s="1494"/>
      <c r="D33" s="1506"/>
      <c r="E33" s="1507"/>
      <c r="F33" s="1494"/>
      <c r="G33" s="1496"/>
      <c r="H33" s="1497"/>
    </row>
    <row r="34" spans="1:8" ht="15" thickBot="1" x14ac:dyDescent="0.35">
      <c r="A34" s="1493" t="s">
        <v>2271</v>
      </c>
      <c r="B34" s="1494"/>
      <c r="C34" s="1494"/>
      <c r="D34" s="1494"/>
      <c r="E34" s="1494"/>
      <c r="F34" s="1494"/>
      <c r="G34" s="1496"/>
      <c r="H34" s="1508">
        <f>+H17</f>
        <v>760221.75999999791</v>
      </c>
    </row>
    <row r="35" spans="1:8" ht="15" thickTop="1" x14ac:dyDescent="0.3">
      <c r="A35" s="1493" t="s">
        <v>2272</v>
      </c>
      <c r="B35" s="1494"/>
      <c r="C35" s="1494"/>
      <c r="D35" s="1494"/>
      <c r="E35" s="1494"/>
      <c r="F35" s="1494"/>
      <c r="G35" s="1496"/>
      <c r="H35" s="1497">
        <v>0</v>
      </c>
    </row>
    <row r="36" spans="1:8" ht="15" thickBot="1" x14ac:dyDescent="0.35">
      <c r="A36" s="1503" t="s">
        <v>2273</v>
      </c>
      <c r="B36" s="1495"/>
      <c r="C36" s="1495"/>
      <c r="D36" s="1495"/>
      <c r="E36" s="1495"/>
      <c r="F36" s="1495"/>
      <c r="G36" s="1509"/>
      <c r="H36" s="1510">
        <f>+H34-H35</f>
        <v>760221.75999999791</v>
      </c>
    </row>
    <row r="37" spans="1:8" ht="15" thickTop="1" x14ac:dyDescent="0.3">
      <c r="A37" s="1493"/>
      <c r="B37" s="1494"/>
      <c r="C37" s="1494"/>
      <c r="D37" s="1494"/>
      <c r="E37" s="1494"/>
      <c r="F37" s="1494"/>
      <c r="G37" s="1496"/>
      <c r="H37" s="1497"/>
    </row>
    <row r="38" spans="1:8" x14ac:dyDescent="0.3">
      <c r="A38" s="1493" t="s">
        <v>2268</v>
      </c>
      <c r="B38" s="1494"/>
      <c r="C38" s="1494"/>
      <c r="D38" s="1494"/>
      <c r="E38" s="1494"/>
      <c r="F38" s="1494"/>
      <c r="G38" s="1496"/>
      <c r="H38" s="1497">
        <f>+H36*15%</f>
        <v>114033.26399999969</v>
      </c>
    </row>
    <row r="39" spans="1:8" x14ac:dyDescent="0.3">
      <c r="A39" s="1493" t="s">
        <v>2269</v>
      </c>
      <c r="B39" s="1494"/>
      <c r="C39" s="1494"/>
      <c r="D39" s="1494"/>
      <c r="E39" s="1494"/>
      <c r="F39" s="1494"/>
      <c r="G39" s="1496"/>
      <c r="H39" s="1497">
        <v>0</v>
      </c>
    </row>
    <row r="40" spans="1:8" x14ac:dyDescent="0.3">
      <c r="A40" s="1493" t="s">
        <v>2270</v>
      </c>
      <c r="B40" s="1494"/>
      <c r="C40" s="1494"/>
      <c r="D40" s="1494"/>
      <c r="E40" s="1494"/>
      <c r="F40" s="1494"/>
      <c r="G40" s="1496"/>
      <c r="H40" s="1492">
        <f>SUM(H38:H39)*4%</f>
        <v>4561.3305599999876</v>
      </c>
    </row>
    <row r="41" spans="1:8" x14ac:dyDescent="0.3">
      <c r="A41" s="1493"/>
      <c r="B41" s="1494"/>
      <c r="C41" s="1494"/>
      <c r="D41" s="1494"/>
      <c r="E41" s="1494"/>
      <c r="F41" s="1505" t="s">
        <v>1977</v>
      </c>
      <c r="G41" s="1496"/>
      <c r="H41" s="1502">
        <f>SUM(H38:H40)</f>
        <v>118594.59455999968</v>
      </c>
    </row>
    <row r="42" spans="1:8" x14ac:dyDescent="0.3">
      <c r="A42" s="1493"/>
      <c r="B42" s="1494"/>
      <c r="C42" s="1494"/>
      <c r="D42" s="1494"/>
      <c r="E42" s="1494"/>
      <c r="F42" s="1505"/>
      <c r="G42" s="1496"/>
      <c r="H42" s="1497"/>
    </row>
    <row r="43" spans="1:8" x14ac:dyDescent="0.3">
      <c r="A43" s="1511" t="s">
        <v>2274</v>
      </c>
      <c r="B43" s="1512"/>
      <c r="C43" s="1512"/>
      <c r="D43" s="1512"/>
      <c r="E43" s="1512"/>
      <c r="F43" s="1513"/>
      <c r="G43" s="1514"/>
      <c r="H43" s="1515">
        <f>+IF(H32&gt;H41,H32,H41)</f>
        <v>197657.2</v>
      </c>
    </row>
    <row r="44" spans="1:8" x14ac:dyDescent="0.3">
      <c r="A44" s="1493"/>
      <c r="B44" s="1494"/>
      <c r="C44" s="1494"/>
      <c r="D44" s="1494"/>
      <c r="E44" s="1494"/>
      <c r="F44" s="1505"/>
      <c r="G44" s="1496"/>
      <c r="H44" s="1497"/>
    </row>
    <row r="45" spans="1:8" x14ac:dyDescent="0.3">
      <c r="A45" s="1493" t="s">
        <v>2275</v>
      </c>
      <c r="B45" s="1494"/>
      <c r="C45" s="1494"/>
      <c r="D45" s="1494"/>
      <c r="E45" s="1494"/>
      <c r="F45" s="1494"/>
      <c r="G45" s="1496"/>
      <c r="H45" s="1497"/>
    </row>
    <row r="46" spans="1:8" x14ac:dyDescent="0.3">
      <c r="A46" s="1493" t="s">
        <v>2276</v>
      </c>
      <c r="B46" s="1494"/>
      <c r="C46" s="1494"/>
      <c r="D46" s="1494"/>
      <c r="E46" s="1494"/>
      <c r="F46" s="1494"/>
      <c r="G46" s="1491"/>
      <c r="H46" s="1492">
        <f>SUM(G45:G46)</f>
        <v>0</v>
      </c>
    </row>
    <row r="47" spans="1:8" x14ac:dyDescent="0.3">
      <c r="A47" s="1493" t="s">
        <v>2277</v>
      </c>
      <c r="B47" s="1494"/>
      <c r="C47" s="1494"/>
      <c r="D47" s="1494"/>
      <c r="E47" s="1494"/>
      <c r="F47" s="1494"/>
      <c r="G47" s="1496"/>
      <c r="H47" s="1516">
        <f>+H43-SUM(H45:H46)</f>
        <v>197657.2</v>
      </c>
    </row>
    <row r="48" spans="1:8" x14ac:dyDescent="0.3">
      <c r="A48" s="1493" t="s">
        <v>2278</v>
      </c>
      <c r="B48" s="1494"/>
      <c r="C48" s="1494"/>
      <c r="D48" s="1494"/>
      <c r="E48" s="1494"/>
      <c r="F48" s="1494"/>
      <c r="G48" s="1496"/>
      <c r="H48" s="1497">
        <f>+N46</f>
        <v>0</v>
      </c>
    </row>
    <row r="49" spans="1:8" x14ac:dyDescent="0.3">
      <c r="A49" s="1493" t="s">
        <v>2279</v>
      </c>
      <c r="B49" s="1494"/>
      <c r="C49" s="1494"/>
      <c r="D49" s="1494"/>
      <c r="E49" s="1494"/>
      <c r="F49" s="1494"/>
      <c r="G49" s="1496"/>
      <c r="H49" s="1497"/>
    </row>
    <row r="50" spans="1:8" x14ac:dyDescent="0.3">
      <c r="A50" s="1493" t="s">
        <v>2280</v>
      </c>
      <c r="B50" s="1494"/>
      <c r="C50" s="1494"/>
      <c r="D50" s="1494"/>
      <c r="E50" s="1494"/>
      <c r="F50" s="1494"/>
      <c r="G50" s="1496"/>
      <c r="H50" s="1497"/>
    </row>
    <row r="51" spans="1:8" x14ac:dyDescent="0.3">
      <c r="A51" s="1493" t="s">
        <v>2281</v>
      </c>
      <c r="B51" s="1494"/>
      <c r="C51" s="1494"/>
      <c r="D51" s="1494"/>
      <c r="E51" s="1494"/>
      <c r="F51" s="1494"/>
      <c r="G51" s="1491"/>
      <c r="H51" s="1492"/>
    </row>
    <row r="52" spans="1:8" x14ac:dyDescent="0.3">
      <c r="A52" s="1493" t="s">
        <v>2282</v>
      </c>
      <c r="B52" s="1494"/>
      <c r="C52" s="1494"/>
      <c r="D52" s="1494"/>
      <c r="E52" s="1494"/>
      <c r="F52" s="1494"/>
      <c r="G52" s="1496"/>
      <c r="H52" s="1516">
        <f>+H47-H48+H50+H51+H49</f>
        <v>197657.2</v>
      </c>
    </row>
    <row r="53" spans="1:8" x14ac:dyDescent="0.3">
      <c r="A53" s="1493" t="s">
        <v>2283</v>
      </c>
      <c r="B53" s="1494"/>
      <c r="C53" s="1494"/>
      <c r="D53" s="1494"/>
      <c r="E53" s="1494"/>
      <c r="F53" s="1494"/>
      <c r="G53" s="1496"/>
      <c r="H53" s="1492">
        <v>0</v>
      </c>
    </row>
    <row r="54" spans="1:8" ht="15" thickBot="1" x14ac:dyDescent="0.35">
      <c r="A54" s="1493" t="s">
        <v>2284</v>
      </c>
      <c r="B54" s="1494"/>
      <c r="C54" s="1494"/>
      <c r="D54" s="1494"/>
      <c r="E54" s="1494"/>
      <c r="F54" s="1494"/>
      <c r="G54" s="1496"/>
      <c r="H54" s="1517">
        <f>ROUND((+H52-H53),-1)</f>
        <v>197660</v>
      </c>
    </row>
    <row r="55" spans="1:8" ht="15.6" thickTop="1" thickBot="1" x14ac:dyDescent="0.35">
      <c r="A55" s="1518"/>
      <c r="B55" s="1519"/>
      <c r="C55" s="1519"/>
      <c r="D55" s="1519"/>
      <c r="E55" s="1519"/>
      <c r="F55" s="1519"/>
      <c r="G55" s="1520"/>
      <c r="H55" s="1521"/>
    </row>
  </sheetData>
  <mergeCells count="3">
    <mergeCell ref="A2:H2"/>
    <mergeCell ref="F5:H8"/>
    <mergeCell ref="A14:F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1"/>
  <sheetViews>
    <sheetView showGridLines="0" topLeftCell="C1" zoomScale="55" zoomScaleNormal="55" workbookViewId="0">
      <selection activeCell="K46" sqref="K46"/>
    </sheetView>
  </sheetViews>
  <sheetFormatPr defaultColWidth="22.6640625" defaultRowHeight="13.8" x14ac:dyDescent="0.3"/>
  <cols>
    <col min="1" max="1" width="0.33203125" style="1205" customWidth="1"/>
    <col min="2" max="2" width="3.33203125" style="1263" customWidth="1"/>
    <col min="3" max="3" width="97.6640625" style="1264" customWidth="1"/>
    <col min="4" max="4" width="17.44140625" style="1264" customWidth="1"/>
    <col min="5" max="5" width="17.5546875" style="1264" customWidth="1"/>
    <col min="6" max="6" width="17.109375" style="1230" customWidth="1"/>
    <col min="7" max="8" width="18.109375" style="1230" customWidth="1"/>
    <col min="9" max="9" width="18.6640625" style="1230" customWidth="1"/>
    <col min="10" max="257" width="22.6640625" style="1205"/>
    <col min="258" max="258" width="1.6640625" style="1205" customWidth="1"/>
    <col min="259" max="259" width="3.33203125" style="1205" customWidth="1"/>
    <col min="260" max="260" width="51.88671875" style="1205" customWidth="1"/>
    <col min="261" max="264" width="18.109375" style="1205" customWidth="1"/>
    <col min="265" max="265" width="18.6640625" style="1205" customWidth="1"/>
    <col min="266" max="513" width="22.6640625" style="1205"/>
    <col min="514" max="514" width="1.6640625" style="1205" customWidth="1"/>
    <col min="515" max="515" width="3.33203125" style="1205" customWidth="1"/>
    <col min="516" max="516" width="51.88671875" style="1205" customWidth="1"/>
    <col min="517" max="520" width="18.109375" style="1205" customWidth="1"/>
    <col min="521" max="521" width="18.6640625" style="1205" customWidth="1"/>
    <col min="522" max="769" width="22.6640625" style="1205"/>
    <col min="770" max="770" width="1.6640625" style="1205" customWidth="1"/>
    <col min="771" max="771" width="3.33203125" style="1205" customWidth="1"/>
    <col min="772" max="772" width="51.88671875" style="1205" customWidth="1"/>
    <col min="773" max="776" width="18.109375" style="1205" customWidth="1"/>
    <col min="777" max="777" width="18.6640625" style="1205" customWidth="1"/>
    <col min="778" max="1025" width="22.6640625" style="1205"/>
    <col min="1026" max="1026" width="1.6640625" style="1205" customWidth="1"/>
    <col min="1027" max="1027" width="3.33203125" style="1205" customWidth="1"/>
    <col min="1028" max="1028" width="51.88671875" style="1205" customWidth="1"/>
    <col min="1029" max="1032" width="18.109375" style="1205" customWidth="1"/>
    <col min="1033" max="1033" width="18.6640625" style="1205" customWidth="1"/>
    <col min="1034" max="1281" width="22.6640625" style="1205"/>
    <col min="1282" max="1282" width="1.6640625" style="1205" customWidth="1"/>
    <col min="1283" max="1283" width="3.33203125" style="1205" customWidth="1"/>
    <col min="1284" max="1284" width="51.88671875" style="1205" customWidth="1"/>
    <col min="1285" max="1288" width="18.109375" style="1205" customWidth="1"/>
    <col min="1289" max="1289" width="18.6640625" style="1205" customWidth="1"/>
    <col min="1290" max="1537" width="22.6640625" style="1205"/>
    <col min="1538" max="1538" width="1.6640625" style="1205" customWidth="1"/>
    <col min="1539" max="1539" width="3.33203125" style="1205" customWidth="1"/>
    <col min="1540" max="1540" width="51.88671875" style="1205" customWidth="1"/>
    <col min="1541" max="1544" width="18.109375" style="1205" customWidth="1"/>
    <col min="1545" max="1545" width="18.6640625" style="1205" customWidth="1"/>
    <col min="1546" max="1793" width="22.6640625" style="1205"/>
    <col min="1794" max="1794" width="1.6640625" style="1205" customWidth="1"/>
    <col min="1795" max="1795" width="3.33203125" style="1205" customWidth="1"/>
    <col min="1796" max="1796" width="51.88671875" style="1205" customWidth="1"/>
    <col min="1797" max="1800" width="18.109375" style="1205" customWidth="1"/>
    <col min="1801" max="1801" width="18.6640625" style="1205" customWidth="1"/>
    <col min="1802" max="2049" width="22.6640625" style="1205"/>
    <col min="2050" max="2050" width="1.6640625" style="1205" customWidth="1"/>
    <col min="2051" max="2051" width="3.33203125" style="1205" customWidth="1"/>
    <col min="2052" max="2052" width="51.88671875" style="1205" customWidth="1"/>
    <col min="2053" max="2056" width="18.109375" style="1205" customWidth="1"/>
    <col min="2057" max="2057" width="18.6640625" style="1205" customWidth="1"/>
    <col min="2058" max="2305" width="22.6640625" style="1205"/>
    <col min="2306" max="2306" width="1.6640625" style="1205" customWidth="1"/>
    <col min="2307" max="2307" width="3.33203125" style="1205" customWidth="1"/>
    <col min="2308" max="2308" width="51.88671875" style="1205" customWidth="1"/>
    <col min="2309" max="2312" width="18.109375" style="1205" customWidth="1"/>
    <col min="2313" max="2313" width="18.6640625" style="1205" customWidth="1"/>
    <col min="2314" max="2561" width="22.6640625" style="1205"/>
    <col min="2562" max="2562" width="1.6640625" style="1205" customWidth="1"/>
    <col min="2563" max="2563" width="3.33203125" style="1205" customWidth="1"/>
    <col min="2564" max="2564" width="51.88671875" style="1205" customWidth="1"/>
    <col min="2565" max="2568" width="18.109375" style="1205" customWidth="1"/>
    <col min="2569" max="2569" width="18.6640625" style="1205" customWidth="1"/>
    <col min="2570" max="2817" width="22.6640625" style="1205"/>
    <col min="2818" max="2818" width="1.6640625" style="1205" customWidth="1"/>
    <col min="2819" max="2819" width="3.33203125" style="1205" customWidth="1"/>
    <col min="2820" max="2820" width="51.88671875" style="1205" customWidth="1"/>
    <col min="2821" max="2824" width="18.109375" style="1205" customWidth="1"/>
    <col min="2825" max="2825" width="18.6640625" style="1205" customWidth="1"/>
    <col min="2826" max="3073" width="22.6640625" style="1205"/>
    <col min="3074" max="3074" width="1.6640625" style="1205" customWidth="1"/>
    <col min="3075" max="3075" width="3.33203125" style="1205" customWidth="1"/>
    <col min="3076" max="3076" width="51.88671875" style="1205" customWidth="1"/>
    <col min="3077" max="3080" width="18.109375" style="1205" customWidth="1"/>
    <col min="3081" max="3081" width="18.6640625" style="1205" customWidth="1"/>
    <col min="3082" max="3329" width="22.6640625" style="1205"/>
    <col min="3330" max="3330" width="1.6640625" style="1205" customWidth="1"/>
    <col min="3331" max="3331" width="3.33203125" style="1205" customWidth="1"/>
    <col min="3332" max="3332" width="51.88671875" style="1205" customWidth="1"/>
    <col min="3333" max="3336" width="18.109375" style="1205" customWidth="1"/>
    <col min="3337" max="3337" width="18.6640625" style="1205" customWidth="1"/>
    <col min="3338" max="3585" width="22.6640625" style="1205"/>
    <col min="3586" max="3586" width="1.6640625" style="1205" customWidth="1"/>
    <col min="3587" max="3587" width="3.33203125" style="1205" customWidth="1"/>
    <col min="3588" max="3588" width="51.88671875" style="1205" customWidth="1"/>
    <col min="3589" max="3592" width="18.109375" style="1205" customWidth="1"/>
    <col min="3593" max="3593" width="18.6640625" style="1205" customWidth="1"/>
    <col min="3594" max="3841" width="22.6640625" style="1205"/>
    <col min="3842" max="3842" width="1.6640625" style="1205" customWidth="1"/>
    <col min="3843" max="3843" width="3.33203125" style="1205" customWidth="1"/>
    <col min="3844" max="3844" width="51.88671875" style="1205" customWidth="1"/>
    <col min="3845" max="3848" width="18.109375" style="1205" customWidth="1"/>
    <col min="3849" max="3849" width="18.6640625" style="1205" customWidth="1"/>
    <col min="3850" max="4097" width="22.6640625" style="1205"/>
    <col min="4098" max="4098" width="1.6640625" style="1205" customWidth="1"/>
    <col min="4099" max="4099" width="3.33203125" style="1205" customWidth="1"/>
    <col min="4100" max="4100" width="51.88671875" style="1205" customWidth="1"/>
    <col min="4101" max="4104" width="18.109375" style="1205" customWidth="1"/>
    <col min="4105" max="4105" width="18.6640625" style="1205" customWidth="1"/>
    <col min="4106" max="4353" width="22.6640625" style="1205"/>
    <col min="4354" max="4354" width="1.6640625" style="1205" customWidth="1"/>
    <col min="4355" max="4355" width="3.33203125" style="1205" customWidth="1"/>
    <col min="4356" max="4356" width="51.88671875" style="1205" customWidth="1"/>
    <col min="4357" max="4360" width="18.109375" style="1205" customWidth="1"/>
    <col min="4361" max="4361" width="18.6640625" style="1205" customWidth="1"/>
    <col min="4362" max="4609" width="22.6640625" style="1205"/>
    <col min="4610" max="4610" width="1.6640625" style="1205" customWidth="1"/>
    <col min="4611" max="4611" width="3.33203125" style="1205" customWidth="1"/>
    <col min="4612" max="4612" width="51.88671875" style="1205" customWidth="1"/>
    <col min="4613" max="4616" width="18.109375" style="1205" customWidth="1"/>
    <col min="4617" max="4617" width="18.6640625" style="1205" customWidth="1"/>
    <col min="4618" max="4865" width="22.6640625" style="1205"/>
    <col min="4866" max="4866" width="1.6640625" style="1205" customWidth="1"/>
    <col min="4867" max="4867" width="3.33203125" style="1205" customWidth="1"/>
    <col min="4868" max="4868" width="51.88671875" style="1205" customWidth="1"/>
    <col min="4869" max="4872" width="18.109375" style="1205" customWidth="1"/>
    <col min="4873" max="4873" width="18.6640625" style="1205" customWidth="1"/>
    <col min="4874" max="5121" width="22.6640625" style="1205"/>
    <col min="5122" max="5122" width="1.6640625" style="1205" customWidth="1"/>
    <col min="5123" max="5123" width="3.33203125" style="1205" customWidth="1"/>
    <col min="5124" max="5124" width="51.88671875" style="1205" customWidth="1"/>
    <col min="5125" max="5128" width="18.109375" style="1205" customWidth="1"/>
    <col min="5129" max="5129" width="18.6640625" style="1205" customWidth="1"/>
    <col min="5130" max="5377" width="22.6640625" style="1205"/>
    <col min="5378" max="5378" width="1.6640625" style="1205" customWidth="1"/>
    <col min="5379" max="5379" width="3.33203125" style="1205" customWidth="1"/>
    <col min="5380" max="5380" width="51.88671875" style="1205" customWidth="1"/>
    <col min="5381" max="5384" width="18.109375" style="1205" customWidth="1"/>
    <col min="5385" max="5385" width="18.6640625" style="1205" customWidth="1"/>
    <col min="5386" max="5633" width="22.6640625" style="1205"/>
    <col min="5634" max="5634" width="1.6640625" style="1205" customWidth="1"/>
    <col min="5635" max="5635" width="3.33203125" style="1205" customWidth="1"/>
    <col min="5636" max="5636" width="51.88671875" style="1205" customWidth="1"/>
    <col min="5637" max="5640" width="18.109375" style="1205" customWidth="1"/>
    <col min="5641" max="5641" width="18.6640625" style="1205" customWidth="1"/>
    <col min="5642" max="5889" width="22.6640625" style="1205"/>
    <col min="5890" max="5890" width="1.6640625" style="1205" customWidth="1"/>
    <col min="5891" max="5891" width="3.33203125" style="1205" customWidth="1"/>
    <col min="5892" max="5892" width="51.88671875" style="1205" customWidth="1"/>
    <col min="5893" max="5896" width="18.109375" style="1205" customWidth="1"/>
    <col min="5897" max="5897" width="18.6640625" style="1205" customWidth="1"/>
    <col min="5898" max="6145" width="22.6640625" style="1205"/>
    <col min="6146" max="6146" width="1.6640625" style="1205" customWidth="1"/>
    <col min="6147" max="6147" width="3.33203125" style="1205" customWidth="1"/>
    <col min="6148" max="6148" width="51.88671875" style="1205" customWidth="1"/>
    <col min="6149" max="6152" width="18.109375" style="1205" customWidth="1"/>
    <col min="6153" max="6153" width="18.6640625" style="1205" customWidth="1"/>
    <col min="6154" max="6401" width="22.6640625" style="1205"/>
    <col min="6402" max="6402" width="1.6640625" style="1205" customWidth="1"/>
    <col min="6403" max="6403" width="3.33203125" style="1205" customWidth="1"/>
    <col min="6404" max="6404" width="51.88671875" style="1205" customWidth="1"/>
    <col min="6405" max="6408" width="18.109375" style="1205" customWidth="1"/>
    <col min="6409" max="6409" width="18.6640625" style="1205" customWidth="1"/>
    <col min="6410" max="6657" width="22.6640625" style="1205"/>
    <col min="6658" max="6658" width="1.6640625" style="1205" customWidth="1"/>
    <col min="6659" max="6659" width="3.33203125" style="1205" customWidth="1"/>
    <col min="6660" max="6660" width="51.88671875" style="1205" customWidth="1"/>
    <col min="6661" max="6664" width="18.109375" style="1205" customWidth="1"/>
    <col min="6665" max="6665" width="18.6640625" style="1205" customWidth="1"/>
    <col min="6666" max="6913" width="22.6640625" style="1205"/>
    <col min="6914" max="6914" width="1.6640625" style="1205" customWidth="1"/>
    <col min="6915" max="6915" width="3.33203125" style="1205" customWidth="1"/>
    <col min="6916" max="6916" width="51.88671875" style="1205" customWidth="1"/>
    <col min="6917" max="6920" width="18.109375" style="1205" customWidth="1"/>
    <col min="6921" max="6921" width="18.6640625" style="1205" customWidth="1"/>
    <col min="6922" max="7169" width="22.6640625" style="1205"/>
    <col min="7170" max="7170" width="1.6640625" style="1205" customWidth="1"/>
    <col min="7171" max="7171" width="3.33203125" style="1205" customWidth="1"/>
    <col min="7172" max="7172" width="51.88671875" style="1205" customWidth="1"/>
    <col min="7173" max="7176" width="18.109375" style="1205" customWidth="1"/>
    <col min="7177" max="7177" width="18.6640625" style="1205" customWidth="1"/>
    <col min="7178" max="7425" width="22.6640625" style="1205"/>
    <col min="7426" max="7426" width="1.6640625" style="1205" customWidth="1"/>
    <col min="7427" max="7427" width="3.33203125" style="1205" customWidth="1"/>
    <col min="7428" max="7428" width="51.88671875" style="1205" customWidth="1"/>
    <col min="7429" max="7432" width="18.109375" style="1205" customWidth="1"/>
    <col min="7433" max="7433" width="18.6640625" style="1205" customWidth="1"/>
    <col min="7434" max="7681" width="22.6640625" style="1205"/>
    <col min="7682" max="7682" width="1.6640625" style="1205" customWidth="1"/>
    <col min="7683" max="7683" width="3.33203125" style="1205" customWidth="1"/>
    <col min="7684" max="7684" width="51.88671875" style="1205" customWidth="1"/>
    <col min="7685" max="7688" width="18.109375" style="1205" customWidth="1"/>
    <col min="7689" max="7689" width="18.6640625" style="1205" customWidth="1"/>
    <col min="7690" max="7937" width="22.6640625" style="1205"/>
    <col min="7938" max="7938" width="1.6640625" style="1205" customWidth="1"/>
    <col min="7939" max="7939" width="3.33203125" style="1205" customWidth="1"/>
    <col min="7940" max="7940" width="51.88671875" style="1205" customWidth="1"/>
    <col min="7941" max="7944" width="18.109375" style="1205" customWidth="1"/>
    <col min="7945" max="7945" width="18.6640625" style="1205" customWidth="1"/>
    <col min="7946" max="8193" width="22.6640625" style="1205"/>
    <col min="8194" max="8194" width="1.6640625" style="1205" customWidth="1"/>
    <col min="8195" max="8195" width="3.33203125" style="1205" customWidth="1"/>
    <col min="8196" max="8196" width="51.88671875" style="1205" customWidth="1"/>
    <col min="8197" max="8200" width="18.109375" style="1205" customWidth="1"/>
    <col min="8201" max="8201" width="18.6640625" style="1205" customWidth="1"/>
    <col min="8202" max="8449" width="22.6640625" style="1205"/>
    <col min="8450" max="8450" width="1.6640625" style="1205" customWidth="1"/>
    <col min="8451" max="8451" width="3.33203125" style="1205" customWidth="1"/>
    <col min="8452" max="8452" width="51.88671875" style="1205" customWidth="1"/>
    <col min="8453" max="8456" width="18.109375" style="1205" customWidth="1"/>
    <col min="8457" max="8457" width="18.6640625" style="1205" customWidth="1"/>
    <col min="8458" max="8705" width="22.6640625" style="1205"/>
    <col min="8706" max="8706" width="1.6640625" style="1205" customWidth="1"/>
    <col min="8707" max="8707" width="3.33203125" style="1205" customWidth="1"/>
    <col min="8708" max="8708" width="51.88671875" style="1205" customWidth="1"/>
    <col min="8709" max="8712" width="18.109375" style="1205" customWidth="1"/>
    <col min="8713" max="8713" width="18.6640625" style="1205" customWidth="1"/>
    <col min="8714" max="8961" width="22.6640625" style="1205"/>
    <col min="8962" max="8962" width="1.6640625" style="1205" customWidth="1"/>
    <col min="8963" max="8963" width="3.33203125" style="1205" customWidth="1"/>
    <col min="8964" max="8964" width="51.88671875" style="1205" customWidth="1"/>
    <col min="8965" max="8968" width="18.109375" style="1205" customWidth="1"/>
    <col min="8969" max="8969" width="18.6640625" style="1205" customWidth="1"/>
    <col min="8970" max="9217" width="22.6640625" style="1205"/>
    <col min="9218" max="9218" width="1.6640625" style="1205" customWidth="1"/>
    <col min="9219" max="9219" width="3.33203125" style="1205" customWidth="1"/>
    <col min="9220" max="9220" width="51.88671875" style="1205" customWidth="1"/>
    <col min="9221" max="9224" width="18.109375" style="1205" customWidth="1"/>
    <col min="9225" max="9225" width="18.6640625" style="1205" customWidth="1"/>
    <col min="9226" max="9473" width="22.6640625" style="1205"/>
    <col min="9474" max="9474" width="1.6640625" style="1205" customWidth="1"/>
    <col min="9475" max="9475" width="3.33203125" style="1205" customWidth="1"/>
    <col min="9476" max="9476" width="51.88671875" style="1205" customWidth="1"/>
    <col min="9477" max="9480" width="18.109375" style="1205" customWidth="1"/>
    <col min="9481" max="9481" width="18.6640625" style="1205" customWidth="1"/>
    <col min="9482" max="9729" width="22.6640625" style="1205"/>
    <col min="9730" max="9730" width="1.6640625" style="1205" customWidth="1"/>
    <col min="9731" max="9731" width="3.33203125" style="1205" customWidth="1"/>
    <col min="9732" max="9732" width="51.88671875" style="1205" customWidth="1"/>
    <col min="9733" max="9736" width="18.109375" style="1205" customWidth="1"/>
    <col min="9737" max="9737" width="18.6640625" style="1205" customWidth="1"/>
    <col min="9738" max="9985" width="22.6640625" style="1205"/>
    <col min="9986" max="9986" width="1.6640625" style="1205" customWidth="1"/>
    <col min="9987" max="9987" width="3.33203125" style="1205" customWidth="1"/>
    <col min="9988" max="9988" width="51.88671875" style="1205" customWidth="1"/>
    <col min="9989" max="9992" width="18.109375" style="1205" customWidth="1"/>
    <col min="9993" max="9993" width="18.6640625" style="1205" customWidth="1"/>
    <col min="9994" max="10241" width="22.6640625" style="1205"/>
    <col min="10242" max="10242" width="1.6640625" style="1205" customWidth="1"/>
    <col min="10243" max="10243" width="3.33203125" style="1205" customWidth="1"/>
    <col min="10244" max="10244" width="51.88671875" style="1205" customWidth="1"/>
    <col min="10245" max="10248" width="18.109375" style="1205" customWidth="1"/>
    <col min="10249" max="10249" width="18.6640625" style="1205" customWidth="1"/>
    <col min="10250" max="10497" width="22.6640625" style="1205"/>
    <col min="10498" max="10498" width="1.6640625" style="1205" customWidth="1"/>
    <col min="10499" max="10499" width="3.33203125" style="1205" customWidth="1"/>
    <col min="10500" max="10500" width="51.88671875" style="1205" customWidth="1"/>
    <col min="10501" max="10504" width="18.109375" style="1205" customWidth="1"/>
    <col min="10505" max="10505" width="18.6640625" style="1205" customWidth="1"/>
    <col min="10506" max="10753" width="22.6640625" style="1205"/>
    <col min="10754" max="10754" width="1.6640625" style="1205" customWidth="1"/>
    <col min="10755" max="10755" width="3.33203125" style="1205" customWidth="1"/>
    <col min="10756" max="10756" width="51.88671875" style="1205" customWidth="1"/>
    <col min="10757" max="10760" width="18.109375" style="1205" customWidth="1"/>
    <col min="10761" max="10761" width="18.6640625" style="1205" customWidth="1"/>
    <col min="10762" max="11009" width="22.6640625" style="1205"/>
    <col min="11010" max="11010" width="1.6640625" style="1205" customWidth="1"/>
    <col min="11011" max="11011" width="3.33203125" style="1205" customWidth="1"/>
    <col min="11012" max="11012" width="51.88671875" style="1205" customWidth="1"/>
    <col min="11013" max="11016" width="18.109375" style="1205" customWidth="1"/>
    <col min="11017" max="11017" width="18.6640625" style="1205" customWidth="1"/>
    <col min="11018" max="11265" width="22.6640625" style="1205"/>
    <col min="11266" max="11266" width="1.6640625" style="1205" customWidth="1"/>
    <col min="11267" max="11267" width="3.33203125" style="1205" customWidth="1"/>
    <col min="11268" max="11268" width="51.88671875" style="1205" customWidth="1"/>
    <col min="11269" max="11272" width="18.109375" style="1205" customWidth="1"/>
    <col min="11273" max="11273" width="18.6640625" style="1205" customWidth="1"/>
    <col min="11274" max="11521" width="22.6640625" style="1205"/>
    <col min="11522" max="11522" width="1.6640625" style="1205" customWidth="1"/>
    <col min="11523" max="11523" width="3.33203125" style="1205" customWidth="1"/>
    <col min="11524" max="11524" width="51.88671875" style="1205" customWidth="1"/>
    <col min="11525" max="11528" width="18.109375" style="1205" customWidth="1"/>
    <col min="11529" max="11529" width="18.6640625" style="1205" customWidth="1"/>
    <col min="11530" max="11777" width="22.6640625" style="1205"/>
    <col min="11778" max="11778" width="1.6640625" style="1205" customWidth="1"/>
    <col min="11779" max="11779" width="3.33203125" style="1205" customWidth="1"/>
    <col min="11780" max="11780" width="51.88671875" style="1205" customWidth="1"/>
    <col min="11781" max="11784" width="18.109375" style="1205" customWidth="1"/>
    <col min="11785" max="11785" width="18.6640625" style="1205" customWidth="1"/>
    <col min="11786" max="12033" width="22.6640625" style="1205"/>
    <col min="12034" max="12034" width="1.6640625" style="1205" customWidth="1"/>
    <col min="12035" max="12035" width="3.33203125" style="1205" customWidth="1"/>
    <col min="12036" max="12036" width="51.88671875" style="1205" customWidth="1"/>
    <col min="12037" max="12040" width="18.109375" style="1205" customWidth="1"/>
    <col min="12041" max="12041" width="18.6640625" style="1205" customWidth="1"/>
    <col min="12042" max="12289" width="22.6640625" style="1205"/>
    <col min="12290" max="12290" width="1.6640625" style="1205" customWidth="1"/>
    <col min="12291" max="12291" width="3.33203125" style="1205" customWidth="1"/>
    <col min="12292" max="12292" width="51.88671875" style="1205" customWidth="1"/>
    <col min="12293" max="12296" width="18.109375" style="1205" customWidth="1"/>
    <col min="12297" max="12297" width="18.6640625" style="1205" customWidth="1"/>
    <col min="12298" max="12545" width="22.6640625" style="1205"/>
    <col min="12546" max="12546" width="1.6640625" style="1205" customWidth="1"/>
    <col min="12547" max="12547" width="3.33203125" style="1205" customWidth="1"/>
    <col min="12548" max="12548" width="51.88671875" style="1205" customWidth="1"/>
    <col min="12549" max="12552" width="18.109375" style="1205" customWidth="1"/>
    <col min="12553" max="12553" width="18.6640625" style="1205" customWidth="1"/>
    <col min="12554" max="12801" width="22.6640625" style="1205"/>
    <col min="12802" max="12802" width="1.6640625" style="1205" customWidth="1"/>
    <col min="12803" max="12803" width="3.33203125" style="1205" customWidth="1"/>
    <col min="12804" max="12804" width="51.88671875" style="1205" customWidth="1"/>
    <col min="12805" max="12808" width="18.109375" style="1205" customWidth="1"/>
    <col min="12809" max="12809" width="18.6640625" style="1205" customWidth="1"/>
    <col min="12810" max="13057" width="22.6640625" style="1205"/>
    <col min="13058" max="13058" width="1.6640625" style="1205" customWidth="1"/>
    <col min="13059" max="13059" width="3.33203125" style="1205" customWidth="1"/>
    <col min="13060" max="13060" width="51.88671875" style="1205" customWidth="1"/>
    <col min="13061" max="13064" width="18.109375" style="1205" customWidth="1"/>
    <col min="13065" max="13065" width="18.6640625" style="1205" customWidth="1"/>
    <col min="13066" max="13313" width="22.6640625" style="1205"/>
    <col min="13314" max="13314" width="1.6640625" style="1205" customWidth="1"/>
    <col min="13315" max="13315" width="3.33203125" style="1205" customWidth="1"/>
    <col min="13316" max="13316" width="51.88671875" style="1205" customWidth="1"/>
    <col min="13317" max="13320" width="18.109375" style="1205" customWidth="1"/>
    <col min="13321" max="13321" width="18.6640625" style="1205" customWidth="1"/>
    <col min="13322" max="13569" width="22.6640625" style="1205"/>
    <col min="13570" max="13570" width="1.6640625" style="1205" customWidth="1"/>
    <col min="13571" max="13571" width="3.33203125" style="1205" customWidth="1"/>
    <col min="13572" max="13572" width="51.88671875" style="1205" customWidth="1"/>
    <col min="13573" max="13576" width="18.109375" style="1205" customWidth="1"/>
    <col min="13577" max="13577" width="18.6640625" style="1205" customWidth="1"/>
    <col min="13578" max="13825" width="22.6640625" style="1205"/>
    <col min="13826" max="13826" width="1.6640625" style="1205" customWidth="1"/>
    <col min="13827" max="13827" width="3.33203125" style="1205" customWidth="1"/>
    <col min="13828" max="13828" width="51.88671875" style="1205" customWidth="1"/>
    <col min="13829" max="13832" width="18.109375" style="1205" customWidth="1"/>
    <col min="13833" max="13833" width="18.6640625" style="1205" customWidth="1"/>
    <col min="13834" max="14081" width="22.6640625" style="1205"/>
    <col min="14082" max="14082" width="1.6640625" style="1205" customWidth="1"/>
    <col min="14083" max="14083" width="3.33203125" style="1205" customWidth="1"/>
    <col min="14084" max="14084" width="51.88671875" style="1205" customWidth="1"/>
    <col min="14085" max="14088" width="18.109375" style="1205" customWidth="1"/>
    <col min="14089" max="14089" width="18.6640625" style="1205" customWidth="1"/>
    <col min="14090" max="14337" width="22.6640625" style="1205"/>
    <col min="14338" max="14338" width="1.6640625" style="1205" customWidth="1"/>
    <col min="14339" max="14339" width="3.33203125" style="1205" customWidth="1"/>
    <col min="14340" max="14340" width="51.88671875" style="1205" customWidth="1"/>
    <col min="14341" max="14344" width="18.109375" style="1205" customWidth="1"/>
    <col min="14345" max="14345" width="18.6640625" style="1205" customWidth="1"/>
    <col min="14346" max="14593" width="22.6640625" style="1205"/>
    <col min="14594" max="14594" width="1.6640625" style="1205" customWidth="1"/>
    <col min="14595" max="14595" width="3.33203125" style="1205" customWidth="1"/>
    <col min="14596" max="14596" width="51.88671875" style="1205" customWidth="1"/>
    <col min="14597" max="14600" width="18.109375" style="1205" customWidth="1"/>
    <col min="14601" max="14601" width="18.6640625" style="1205" customWidth="1"/>
    <col min="14602" max="14849" width="22.6640625" style="1205"/>
    <col min="14850" max="14850" width="1.6640625" style="1205" customWidth="1"/>
    <col min="14851" max="14851" width="3.33203125" style="1205" customWidth="1"/>
    <col min="14852" max="14852" width="51.88671875" style="1205" customWidth="1"/>
    <col min="14853" max="14856" width="18.109375" style="1205" customWidth="1"/>
    <col min="14857" max="14857" width="18.6640625" style="1205" customWidth="1"/>
    <col min="14858" max="15105" width="22.6640625" style="1205"/>
    <col min="15106" max="15106" width="1.6640625" style="1205" customWidth="1"/>
    <col min="15107" max="15107" width="3.33203125" style="1205" customWidth="1"/>
    <col min="15108" max="15108" width="51.88671875" style="1205" customWidth="1"/>
    <col min="15109" max="15112" width="18.109375" style="1205" customWidth="1"/>
    <col min="15113" max="15113" width="18.6640625" style="1205" customWidth="1"/>
    <col min="15114" max="15361" width="22.6640625" style="1205"/>
    <col min="15362" max="15362" width="1.6640625" style="1205" customWidth="1"/>
    <col min="15363" max="15363" width="3.33203125" style="1205" customWidth="1"/>
    <col min="15364" max="15364" width="51.88671875" style="1205" customWidth="1"/>
    <col min="15365" max="15368" width="18.109375" style="1205" customWidth="1"/>
    <col min="15369" max="15369" width="18.6640625" style="1205" customWidth="1"/>
    <col min="15370" max="15617" width="22.6640625" style="1205"/>
    <col min="15618" max="15618" width="1.6640625" style="1205" customWidth="1"/>
    <col min="15619" max="15619" width="3.33203125" style="1205" customWidth="1"/>
    <col min="15620" max="15620" width="51.88671875" style="1205" customWidth="1"/>
    <col min="15621" max="15624" width="18.109375" style="1205" customWidth="1"/>
    <col min="15625" max="15625" width="18.6640625" style="1205" customWidth="1"/>
    <col min="15626" max="15873" width="22.6640625" style="1205"/>
    <col min="15874" max="15874" width="1.6640625" style="1205" customWidth="1"/>
    <col min="15875" max="15875" width="3.33203125" style="1205" customWidth="1"/>
    <col min="15876" max="15876" width="51.88671875" style="1205" customWidth="1"/>
    <col min="15877" max="15880" width="18.109375" style="1205" customWidth="1"/>
    <col min="15881" max="15881" width="18.6640625" style="1205" customWidth="1"/>
    <col min="15882" max="16129" width="22.6640625" style="1205"/>
    <col min="16130" max="16130" width="1.6640625" style="1205" customWidth="1"/>
    <col min="16131" max="16131" width="3.33203125" style="1205" customWidth="1"/>
    <col min="16132" max="16132" width="51.88671875" style="1205" customWidth="1"/>
    <col min="16133" max="16136" width="18.109375" style="1205" customWidth="1"/>
    <col min="16137" max="16137" width="18.6640625" style="1205" customWidth="1"/>
    <col min="16138" max="16384" width="22.6640625" style="1205"/>
  </cols>
  <sheetData>
    <row r="1" spans="1:9" x14ac:dyDescent="0.3">
      <c r="A1" s="1199"/>
      <c r="B1" s="1304" t="s">
        <v>2296</v>
      </c>
      <c r="C1" s="1201"/>
      <c r="D1" s="1201"/>
      <c r="E1" s="1201"/>
      <c r="F1" s="1202"/>
      <c r="G1" s="1202"/>
      <c r="H1" s="1203"/>
      <c r="I1" s="1204"/>
    </row>
    <row r="2" spans="1:9" x14ac:dyDescent="0.25">
      <c r="A2" s="1534"/>
      <c r="B2" s="702" t="s">
        <v>2299</v>
      </c>
      <c r="C2" s="1535"/>
      <c r="D2" s="1208"/>
      <c r="E2" s="1208"/>
      <c r="F2" s="1204"/>
      <c r="G2" s="1204"/>
      <c r="H2" s="1209"/>
      <c r="I2" s="1204"/>
    </row>
    <row r="3" spans="1:9" x14ac:dyDescent="0.3">
      <c r="A3" s="1206"/>
      <c r="B3" s="1305" t="s">
        <v>2103</v>
      </c>
      <c r="C3" s="1208"/>
      <c r="D3" s="1208"/>
      <c r="E3" s="1208"/>
      <c r="F3" s="1204"/>
      <c r="G3" s="1204"/>
      <c r="H3" s="1209"/>
      <c r="I3" s="1204"/>
    </row>
    <row r="4" spans="1:9" x14ac:dyDescent="0.3">
      <c r="A4" s="1206"/>
      <c r="B4" s="1305" t="s">
        <v>2372</v>
      </c>
      <c r="C4" s="1208"/>
      <c r="D4" s="1208"/>
      <c r="E4" s="1208"/>
      <c r="F4" s="1204"/>
      <c r="G4" s="1204"/>
      <c r="H4" s="1209"/>
      <c r="I4" s="1204"/>
    </row>
    <row r="5" spans="1:9" ht="3.45" customHeight="1" x14ac:dyDescent="0.3">
      <c r="A5" s="1206"/>
      <c r="B5" s="1305"/>
      <c r="C5" s="1208"/>
      <c r="D5" s="1208"/>
      <c r="E5" s="1208"/>
      <c r="F5" s="1205"/>
      <c r="G5" s="1210"/>
      <c r="H5" s="1211"/>
      <c r="I5" s="1210"/>
    </row>
    <row r="6" spans="1:9" x14ac:dyDescent="0.3">
      <c r="A6" s="1212"/>
      <c r="B6" s="1306" t="s">
        <v>584</v>
      </c>
      <c r="C6" s="1214" t="s">
        <v>2104</v>
      </c>
      <c r="D6" s="1214"/>
      <c r="E6" s="1214"/>
      <c r="F6" s="1205"/>
      <c r="G6" s="1215"/>
      <c r="H6" s="1216"/>
      <c r="I6" s="1215"/>
    </row>
    <row r="7" spans="1:9" x14ac:dyDescent="0.3">
      <c r="A7" s="1212"/>
      <c r="B7" s="1306"/>
      <c r="C7" s="1214"/>
      <c r="D7" s="1210" t="s">
        <v>2105</v>
      </c>
      <c r="E7" s="1210"/>
      <c r="F7" s="1215"/>
      <c r="G7" s="1215"/>
      <c r="H7" s="1216"/>
      <c r="I7" s="1205"/>
    </row>
    <row r="8" spans="1:9" x14ac:dyDescent="0.3">
      <c r="A8" s="1212"/>
      <c r="B8" s="1307"/>
      <c r="C8" s="1218"/>
      <c r="D8" s="1219" t="s">
        <v>593</v>
      </c>
      <c r="E8" s="1291"/>
      <c r="F8" s="1220"/>
      <c r="G8" s="1220"/>
      <c r="H8" s="1221"/>
      <c r="I8" s="1205"/>
    </row>
    <row r="9" spans="1:9" ht="14.4" hidden="1" thickBot="1" x14ac:dyDescent="0.35">
      <c r="A9" s="1212"/>
      <c r="B9" s="1308"/>
      <c r="C9" s="1223" t="s">
        <v>2247</v>
      </c>
      <c r="D9" s="1224">
        <f>+'sch 12-12.2'!G14</f>
        <v>20709000</v>
      </c>
      <c r="E9" s="1292"/>
      <c r="F9" s="1225"/>
      <c r="G9" s="1225"/>
      <c r="H9" s="1226"/>
      <c r="I9" s="1205"/>
    </row>
    <row r="10" spans="1:9" hidden="1" x14ac:dyDescent="0.3">
      <c r="A10" s="1212"/>
      <c r="B10" s="1309"/>
      <c r="C10" s="1228" t="s">
        <v>2108</v>
      </c>
      <c r="D10" s="1229">
        <f>+D69</f>
        <v>0</v>
      </c>
      <c r="E10" s="1293"/>
      <c r="F10" s="1215"/>
      <c r="G10" s="1215"/>
      <c r="H10" s="1216"/>
      <c r="I10" s="1205"/>
    </row>
    <row r="11" spans="1:9" ht="14.4" thickBot="1" x14ac:dyDescent="0.35">
      <c r="A11" s="1212"/>
      <c r="B11" s="1308"/>
      <c r="C11" s="1223" t="s">
        <v>2384</v>
      </c>
      <c r="D11" s="1224">
        <f>SUM(D9:D10)</f>
        <v>20709000</v>
      </c>
      <c r="E11" s="1292"/>
      <c r="F11" s="1225"/>
      <c r="G11" s="1225"/>
      <c r="H11" s="1226"/>
      <c r="I11" s="1205"/>
    </row>
    <row r="12" spans="1:9" x14ac:dyDescent="0.3">
      <c r="A12" s="1212"/>
      <c r="B12" s="1309"/>
      <c r="C12" s="1228" t="s">
        <v>2248</v>
      </c>
      <c r="D12" s="1229">
        <v>0</v>
      </c>
      <c r="E12" s="1293"/>
      <c r="F12" s="1225"/>
      <c r="G12" s="1225"/>
      <c r="H12" s="1226"/>
      <c r="I12" s="1205"/>
    </row>
    <row r="13" spans="1:9" ht="14.4" thickBot="1" x14ac:dyDescent="0.35">
      <c r="A13" s="1212"/>
      <c r="B13" s="1308"/>
      <c r="C13" s="1223" t="s">
        <v>2249</v>
      </c>
      <c r="D13" s="1224">
        <f>SUM(D11:D12)</f>
        <v>20709000</v>
      </c>
      <c r="E13" s="1292"/>
      <c r="F13" s="1225"/>
      <c r="G13" s="1225"/>
      <c r="H13" s="1226"/>
      <c r="I13" s="1205"/>
    </row>
    <row r="14" spans="1:9" x14ac:dyDescent="0.3">
      <c r="A14" s="1212"/>
      <c r="B14" s="1309"/>
      <c r="C14" s="1228" t="s">
        <v>2373</v>
      </c>
      <c r="D14" s="1229">
        <v>0</v>
      </c>
      <c r="E14" s="1292"/>
      <c r="F14" s="1225"/>
      <c r="G14" s="1225"/>
      <c r="H14" s="1226"/>
      <c r="I14" s="1205"/>
    </row>
    <row r="15" spans="1:9" ht="14.4" thickBot="1" x14ac:dyDescent="0.35">
      <c r="A15" s="1212"/>
      <c r="B15" s="1308"/>
      <c r="C15" s="1223" t="s">
        <v>2374</v>
      </c>
      <c r="D15" s="1224">
        <f>SUM(D13:D14)</f>
        <v>20709000</v>
      </c>
      <c r="E15" s="1292"/>
      <c r="F15" s="1225"/>
      <c r="G15" s="1225"/>
      <c r="H15" s="1226"/>
      <c r="I15" s="1205"/>
    </row>
    <row r="16" spans="1:9" x14ac:dyDescent="0.3">
      <c r="A16" s="1212"/>
      <c r="B16" s="1310"/>
      <c r="C16" s="1214"/>
      <c r="D16" s="1214"/>
      <c r="E16" s="1214"/>
      <c r="F16" s="1225"/>
      <c r="G16" s="1225"/>
      <c r="H16" s="1226"/>
      <c r="I16" s="1225"/>
    </row>
    <row r="17" spans="1:10" ht="10.5" customHeight="1" x14ac:dyDescent="0.3">
      <c r="A17" s="1212"/>
      <c r="B17" s="1310"/>
      <c r="C17" s="1214"/>
      <c r="D17" s="1214"/>
      <c r="E17" s="1214"/>
      <c r="F17" s="1225"/>
      <c r="G17" s="1225"/>
      <c r="H17" s="1226"/>
      <c r="I17" s="1225"/>
    </row>
    <row r="18" spans="1:10" x14ac:dyDescent="0.3">
      <c r="A18" s="1212"/>
      <c r="B18" s="1306" t="s">
        <v>466</v>
      </c>
      <c r="C18" s="1214" t="s">
        <v>2109</v>
      </c>
      <c r="D18" s="1214"/>
      <c r="E18" s="1214"/>
      <c r="F18" s="1225"/>
      <c r="G18" s="1225"/>
      <c r="H18" s="1226"/>
      <c r="I18" s="1225"/>
    </row>
    <row r="19" spans="1:10" ht="7.95" customHeight="1" x14ac:dyDescent="0.3">
      <c r="A19" s="1212"/>
      <c r="B19" s="1212"/>
      <c r="C19" s="1205"/>
      <c r="D19" s="1205"/>
      <c r="E19" s="1205"/>
      <c r="F19" s="1225"/>
      <c r="G19" s="1225"/>
      <c r="H19" s="1211" t="s">
        <v>2105</v>
      </c>
    </row>
    <row r="20" spans="1:10" ht="41.4" x14ac:dyDescent="0.3">
      <c r="A20" s="1212"/>
      <c r="B20" s="1952"/>
      <c r="C20" s="1954" t="s">
        <v>215</v>
      </c>
      <c r="D20" s="1956" t="s">
        <v>2110</v>
      </c>
      <c r="E20" s="1957"/>
      <c r="F20" s="1958"/>
      <c r="G20" s="1770" t="s">
        <v>2111</v>
      </c>
      <c r="H20" s="1959" t="s">
        <v>213</v>
      </c>
      <c r="I20" s="1205"/>
    </row>
    <row r="21" spans="1:10" ht="28.2" thickBot="1" x14ac:dyDescent="0.35">
      <c r="A21" s="1212"/>
      <c r="B21" s="1953"/>
      <c r="C21" s="1955"/>
      <c r="D21" s="1770" t="s">
        <v>2112</v>
      </c>
      <c r="E21" s="1770" t="s">
        <v>2139</v>
      </c>
      <c r="F21" s="1770" t="s">
        <v>477</v>
      </c>
      <c r="G21" s="1770" t="s">
        <v>267</v>
      </c>
      <c r="H21" s="1960"/>
      <c r="I21" s="1205"/>
    </row>
    <row r="22" spans="1:10" ht="14.4" thickBot="1" x14ac:dyDescent="0.35">
      <c r="A22" s="1212"/>
      <c r="B22" s="1311"/>
      <c r="C22" s="1234" t="s">
        <v>2377</v>
      </c>
      <c r="D22" s="1771">
        <v>2333750</v>
      </c>
      <c r="E22" s="1771">
        <v>0</v>
      </c>
      <c r="F22" s="1772">
        <v>-4326778</v>
      </c>
      <c r="G22" s="1773">
        <v>0</v>
      </c>
      <c r="H22" s="1774">
        <f>SUM(D22:G22)</f>
        <v>-1993028</v>
      </c>
      <c r="I22" s="1204"/>
      <c r="J22" s="1208"/>
    </row>
    <row r="23" spans="1:10" ht="27.6" x14ac:dyDescent="0.3">
      <c r="A23" s="1212"/>
      <c r="B23" s="1312"/>
      <c r="C23" s="1260" t="s">
        <v>2119</v>
      </c>
      <c r="D23" s="1241"/>
      <c r="E23" s="1241"/>
      <c r="F23" s="1241"/>
      <c r="G23" s="1241"/>
      <c r="H23" s="1242"/>
      <c r="I23" s="1205"/>
    </row>
    <row r="24" spans="1:10" x14ac:dyDescent="0.3">
      <c r="A24" s="1212"/>
      <c r="B24" s="1312"/>
      <c r="C24" s="1244" t="s">
        <v>2114</v>
      </c>
      <c r="D24" s="1241">
        <v>0</v>
      </c>
      <c r="E24" s="1241"/>
      <c r="F24" s="1245">
        <v>682613</v>
      </c>
      <c r="G24" s="1246">
        <v>0</v>
      </c>
      <c r="H24" s="1247">
        <f>SUM(D24:G24)</f>
        <v>682613</v>
      </c>
      <c r="I24" s="1205"/>
    </row>
    <row r="25" spans="1:10" x14ac:dyDescent="0.3">
      <c r="A25" s="1212"/>
      <c r="B25" s="1312"/>
      <c r="C25" s="1244" t="s">
        <v>2115</v>
      </c>
      <c r="D25" s="1241">
        <v>0</v>
      </c>
      <c r="E25" s="1241"/>
      <c r="F25" s="1248">
        <v>0</v>
      </c>
      <c r="G25" s="1246">
        <f>+'[1]Note 3 to 14 Ind As'!F34</f>
        <v>0</v>
      </c>
      <c r="H25" s="1247">
        <f>SUM(D25:G25)</f>
        <v>0</v>
      </c>
      <c r="I25" s="1205"/>
    </row>
    <row r="26" spans="1:10" x14ac:dyDescent="0.3">
      <c r="A26" s="1212"/>
      <c r="B26" s="1312"/>
      <c r="C26" s="1243" t="s">
        <v>2116</v>
      </c>
      <c r="D26" s="1241">
        <f>SUM(D24:D25)</f>
        <v>0</v>
      </c>
      <c r="E26" s="1241"/>
      <c r="F26" s="1248">
        <f>SUM(F24:F25)</f>
        <v>682613</v>
      </c>
      <c r="G26" s="1241">
        <f>SUM(G24:G25)</f>
        <v>0</v>
      </c>
      <c r="H26" s="1247">
        <f>SUM(H24:H25)</f>
        <v>682613</v>
      </c>
      <c r="I26" s="1205"/>
    </row>
    <row r="27" spans="1:10" ht="1.2" customHeight="1" x14ac:dyDescent="0.3">
      <c r="A27" s="1212"/>
      <c r="B27" s="1313"/>
      <c r="C27" s="1250"/>
      <c r="D27" s="1251"/>
      <c r="E27" s="1251"/>
      <c r="F27" s="1251"/>
      <c r="G27" s="1251"/>
      <c r="H27" s="1252"/>
      <c r="I27" s="1205"/>
    </row>
    <row r="28" spans="1:10" ht="25.5" customHeight="1" thickBot="1" x14ac:dyDescent="0.35">
      <c r="A28" s="1212"/>
      <c r="B28" s="1314"/>
      <c r="C28" s="1243" t="s">
        <v>2120</v>
      </c>
      <c r="D28" s="1245">
        <v>0</v>
      </c>
      <c r="E28" s="1245"/>
      <c r="F28" s="1246">
        <v>0</v>
      </c>
      <c r="G28" s="1246">
        <v>0</v>
      </c>
      <c r="H28" s="1261">
        <f>SUM(D28:G28)</f>
        <v>0</v>
      </c>
      <c r="I28" s="1205"/>
    </row>
    <row r="29" spans="1:10" ht="14.4" hidden="1" thickBot="1" x14ac:dyDescent="0.35">
      <c r="A29" s="1212"/>
      <c r="B29" s="1308"/>
      <c r="C29" s="1254"/>
      <c r="D29" s="1255"/>
      <c r="E29" s="1255"/>
      <c r="F29" s="1255"/>
      <c r="G29" s="1255"/>
      <c r="H29" s="1256"/>
      <c r="I29" s="1205"/>
    </row>
    <row r="30" spans="1:10" ht="14.4" thickBot="1" x14ac:dyDescent="0.35">
      <c r="A30" s="1212"/>
      <c r="B30" s="1315"/>
      <c r="C30" s="1258" t="s">
        <v>2290</v>
      </c>
      <c r="D30" s="1236">
        <f>D28+D26+D22</f>
        <v>2333750</v>
      </c>
      <c r="E30" s="1236">
        <f t="shared" ref="E30:H30" si="0">E28+E26+E22</f>
        <v>0</v>
      </c>
      <c r="F30" s="1236">
        <f t="shared" si="0"/>
        <v>-3644165</v>
      </c>
      <c r="G30" s="1236">
        <f t="shared" si="0"/>
        <v>0</v>
      </c>
      <c r="H30" s="1236">
        <f t="shared" si="0"/>
        <v>-1310415</v>
      </c>
      <c r="I30" s="1204"/>
      <c r="J30" s="1259"/>
    </row>
    <row r="31" spans="1:10" x14ac:dyDescent="0.3">
      <c r="A31" s="1212"/>
      <c r="B31" s="1312"/>
      <c r="C31" s="1240"/>
      <c r="D31" s="1241"/>
      <c r="E31" s="1241"/>
      <c r="F31" s="1241"/>
      <c r="G31" s="1241"/>
      <c r="H31" s="1242"/>
      <c r="I31" s="1204"/>
      <c r="J31" s="1208"/>
    </row>
    <row r="32" spans="1:10" ht="27.6" x14ac:dyDescent="0.3">
      <c r="A32" s="1212"/>
      <c r="B32" s="1312"/>
      <c r="C32" s="1260" t="s">
        <v>2375</v>
      </c>
      <c r="D32" s="1241"/>
      <c r="E32" s="1241"/>
      <c r="F32" s="1241"/>
      <c r="G32" s="1241"/>
      <c r="H32" s="1242"/>
      <c r="I32" s="1204"/>
      <c r="J32" s="1208"/>
    </row>
    <row r="33" spans="1:13" x14ac:dyDescent="0.3">
      <c r="A33" s="1212"/>
      <c r="B33" s="1312"/>
      <c r="C33" s="1244" t="s">
        <v>2114</v>
      </c>
      <c r="D33" s="1241">
        <v>0</v>
      </c>
      <c r="E33" s="1241"/>
      <c r="F33" s="1245">
        <f>'sch 12-12.2'!F69</f>
        <v>1168332.9600000009</v>
      </c>
      <c r="G33" s="1246">
        <v>0</v>
      </c>
      <c r="H33" s="1247">
        <f>SUM(D33:G33)</f>
        <v>1168332.9600000009</v>
      </c>
      <c r="I33" s="1204"/>
      <c r="J33" s="1208"/>
    </row>
    <row r="34" spans="1:13" x14ac:dyDescent="0.3">
      <c r="A34" s="1212"/>
      <c r="B34" s="1312"/>
      <c r="C34" s="1244" t="s">
        <v>2115</v>
      </c>
      <c r="D34" s="1241">
        <v>0</v>
      </c>
      <c r="E34" s="1241"/>
      <c r="F34" s="1248">
        <v>0</v>
      </c>
      <c r="G34" s="1246">
        <f>+'[1]Note 3 to 14 Ind As'!F43</f>
        <v>0</v>
      </c>
      <c r="H34" s="1247">
        <f>SUM(D34:G34)</f>
        <v>0</v>
      </c>
      <c r="I34" s="1204"/>
      <c r="J34" s="1208"/>
    </row>
    <row r="35" spans="1:13" x14ac:dyDescent="0.3">
      <c r="A35" s="1212"/>
      <c r="B35" s="1312"/>
      <c r="C35" s="1243" t="s">
        <v>2116</v>
      </c>
      <c r="D35" s="1241">
        <f>SUM(D33:D34)</f>
        <v>0</v>
      </c>
      <c r="E35" s="1241"/>
      <c r="F35" s="1248">
        <f>SUM(F33:F34)</f>
        <v>1168332.9600000009</v>
      </c>
      <c r="G35" s="1241">
        <f>SUM(G33:G34)</f>
        <v>0</v>
      </c>
      <c r="H35" s="1247">
        <f>SUM(H33:H34)</f>
        <v>1168332.9600000009</v>
      </c>
      <c r="I35" s="1204"/>
      <c r="J35" s="1208"/>
    </row>
    <row r="36" spans="1:13" x14ac:dyDescent="0.3">
      <c r="A36" s="1212"/>
      <c r="B36" s="1313"/>
      <c r="C36" s="1250"/>
      <c r="D36" s="1251"/>
      <c r="E36" s="1251"/>
      <c r="F36" s="1251"/>
      <c r="G36" s="1251"/>
      <c r="H36" s="1252"/>
      <c r="I36" s="1204"/>
      <c r="J36" s="1208"/>
    </row>
    <row r="37" spans="1:13" x14ac:dyDescent="0.3">
      <c r="A37" s="1212"/>
      <c r="B37" s="1314"/>
      <c r="C37" s="1243" t="s">
        <v>2120</v>
      </c>
      <c r="D37" s="1245">
        <v>0</v>
      </c>
      <c r="E37" s="1245"/>
      <c r="F37" s="1246">
        <v>0</v>
      </c>
      <c r="G37" s="1246">
        <v>0</v>
      </c>
      <c r="H37" s="1261">
        <f>SUM(D37:G37)</f>
        <v>0</v>
      </c>
      <c r="I37" s="1204"/>
      <c r="J37" s="1208"/>
    </row>
    <row r="38" spans="1:13" ht="1.2" customHeight="1" thickBot="1" x14ac:dyDescent="0.35">
      <c r="A38" s="1212"/>
      <c r="B38" s="1308"/>
      <c r="C38" s="1254"/>
      <c r="D38" s="1255"/>
      <c r="E38" s="1255"/>
      <c r="F38" s="1255"/>
      <c r="G38" s="1255"/>
      <c r="H38" s="1256"/>
      <c r="I38" s="1204"/>
      <c r="J38" s="1208"/>
    </row>
    <row r="39" spans="1:13" ht="14.4" thickBot="1" x14ac:dyDescent="0.35">
      <c r="A39" s="1212"/>
      <c r="B39" s="1315"/>
      <c r="C39" s="1258" t="s">
        <v>2376</v>
      </c>
      <c r="D39" s="1236">
        <f>D37+D35+D30</f>
        <v>2333750</v>
      </c>
      <c r="E39" s="1236">
        <f>E37+E35+E30</f>
        <v>0</v>
      </c>
      <c r="F39" s="1236">
        <f>F37+F35+F30</f>
        <v>-2475832.0399999991</v>
      </c>
      <c r="G39" s="1237">
        <f>G37+G35+G30</f>
        <v>0</v>
      </c>
      <c r="H39" s="1238">
        <f>H37+H35+H30</f>
        <v>-142082.03999999911</v>
      </c>
      <c r="I39" s="1204"/>
      <c r="J39" s="1259"/>
      <c r="K39" s="1262"/>
      <c r="L39" s="1262"/>
      <c r="M39" s="1262"/>
    </row>
    <row r="40" spans="1:13" x14ac:dyDescent="0.3">
      <c r="A40" s="1212"/>
      <c r="B40" s="1310"/>
      <c r="C40" s="1214"/>
      <c r="D40" s="1225"/>
      <c r="E40" s="1225"/>
      <c r="F40" s="1225"/>
      <c r="G40" s="1225"/>
      <c r="H40" s="1226"/>
      <c r="I40" s="1204"/>
      <c r="J40" s="1259"/>
      <c r="K40" s="1259"/>
      <c r="L40" s="1259"/>
      <c r="M40" s="1259"/>
    </row>
    <row r="41" spans="1:13" ht="15.6" x14ac:dyDescent="0.3">
      <c r="A41" s="1212"/>
      <c r="B41" s="969" t="s">
        <v>357</v>
      </c>
      <c r="C41" s="304"/>
      <c r="D41" s="1230"/>
      <c r="E41" s="310" t="s">
        <v>359</v>
      </c>
      <c r="H41" s="1265"/>
      <c r="I41" s="1205"/>
    </row>
    <row r="42" spans="1:13" ht="15.6" x14ac:dyDescent="0.3">
      <c r="A42" s="1212"/>
      <c r="B42" s="1316" t="s">
        <v>2191</v>
      </c>
      <c r="C42" s="304"/>
      <c r="D42" s="1266"/>
      <c r="E42" s="310" t="str">
        <f>+'BS PL CFL'!D70</f>
        <v>Arunjyoti Bio Ventures Limited</v>
      </c>
      <c r="F42" s="1267"/>
      <c r="G42" s="1267"/>
      <c r="H42" s="1265"/>
      <c r="I42" s="1205"/>
    </row>
    <row r="43" spans="1:13" ht="15.6" x14ac:dyDescent="0.3">
      <c r="A43" s="1212"/>
      <c r="B43" s="971" t="s">
        <v>251</v>
      </c>
      <c r="C43" s="304"/>
      <c r="D43" s="1266"/>
      <c r="E43" s="297"/>
      <c r="F43" s="1269"/>
      <c r="G43" s="1270"/>
      <c r="H43" s="1265"/>
      <c r="I43" s="1205"/>
    </row>
    <row r="44" spans="1:13" ht="15.6" x14ac:dyDescent="0.3">
      <c r="A44" s="1212"/>
      <c r="B44" s="971" t="s">
        <v>1438</v>
      </c>
      <c r="C44" s="304"/>
      <c r="D44" s="1270"/>
      <c r="E44" s="304"/>
      <c r="F44" s="1271"/>
      <c r="G44" s="1270"/>
      <c r="H44" s="1265"/>
      <c r="I44" s="1205"/>
    </row>
    <row r="45" spans="1:13" ht="15.6" x14ac:dyDescent="0.3">
      <c r="A45" s="1212"/>
      <c r="B45" s="971"/>
      <c r="C45" s="304"/>
      <c r="D45" s="1272"/>
      <c r="E45" s="304"/>
      <c r="F45" s="1269"/>
      <c r="G45" s="1269"/>
      <c r="H45" s="1265"/>
      <c r="I45" s="1205"/>
    </row>
    <row r="46" spans="1:13" ht="15.6" x14ac:dyDescent="0.3">
      <c r="A46" s="1212"/>
      <c r="B46" s="971"/>
      <c r="C46" s="304"/>
      <c r="D46" s="1273"/>
      <c r="E46" s="626" t="s">
        <v>2148</v>
      </c>
      <c r="F46" s="1274"/>
      <c r="G46" s="626" t="s">
        <v>2150</v>
      </c>
      <c r="H46" s="1275"/>
      <c r="I46" s="1205"/>
    </row>
    <row r="47" spans="1:13" ht="15.6" x14ac:dyDescent="0.3">
      <c r="A47" s="1212"/>
      <c r="B47" s="971"/>
      <c r="C47" s="304"/>
      <c r="D47" s="1276"/>
      <c r="E47" s="1024" t="s">
        <v>2152</v>
      </c>
      <c r="F47" s="1269"/>
      <c r="G47" s="1024" t="s">
        <v>2152</v>
      </c>
      <c r="H47" s="1277"/>
      <c r="I47" s="1205"/>
    </row>
    <row r="48" spans="1:13" ht="15.6" x14ac:dyDescent="0.3">
      <c r="A48" s="1212"/>
      <c r="B48" s="1316" t="s">
        <v>2188</v>
      </c>
      <c r="C48" s="304"/>
      <c r="D48" s="1278"/>
      <c r="E48" s="1024" t="s">
        <v>2149</v>
      </c>
      <c r="F48" s="1269"/>
      <c r="G48" s="1024" t="s">
        <v>2151</v>
      </c>
      <c r="H48" s="1277"/>
      <c r="I48" s="1205"/>
    </row>
    <row r="49" spans="1:9" ht="15.6" x14ac:dyDescent="0.3">
      <c r="A49" s="1212"/>
      <c r="B49" s="971" t="s">
        <v>364</v>
      </c>
      <c r="C49" s="304"/>
      <c r="D49" s="1205"/>
      <c r="E49" s="1024"/>
      <c r="F49" s="1267"/>
      <c r="G49" s="1267"/>
      <c r="H49" s="1277"/>
      <c r="I49" s="1205"/>
    </row>
    <row r="50" spans="1:9" ht="15.6" x14ac:dyDescent="0.3">
      <c r="A50" s="1212"/>
      <c r="B50" s="971" t="s">
        <v>2189</v>
      </c>
      <c r="C50" s="304"/>
      <c r="D50" s="700"/>
      <c r="E50" s="1024"/>
      <c r="F50" s="1279"/>
      <c r="G50" s="1279"/>
      <c r="H50" s="1280"/>
      <c r="I50" s="1205"/>
    </row>
    <row r="51" spans="1:9" ht="15.6" x14ac:dyDescent="0.3">
      <c r="A51" s="1212"/>
      <c r="B51" s="1317" t="s">
        <v>2190</v>
      </c>
      <c r="C51" s="304"/>
      <c r="D51" s="1282"/>
      <c r="E51" s="1024"/>
      <c r="F51" s="1283"/>
      <c r="G51" s="1283"/>
      <c r="H51" s="1265"/>
      <c r="I51" s="1205"/>
    </row>
    <row r="52" spans="1:9" ht="15" customHeight="1" x14ac:dyDescent="0.3">
      <c r="A52" s="1212"/>
      <c r="B52" s="971"/>
      <c r="C52" s="304"/>
      <c r="D52" s="1205"/>
      <c r="F52" s="1267"/>
      <c r="G52" s="1267"/>
      <c r="H52" s="1265"/>
      <c r="I52" s="1205"/>
    </row>
    <row r="53" spans="1:9" ht="15.6" x14ac:dyDescent="0.3">
      <c r="A53" s="1212"/>
      <c r="B53" s="974" t="s">
        <v>370</v>
      </c>
      <c r="C53" s="307"/>
      <c r="D53" s="1205"/>
      <c r="F53" s="1267"/>
      <c r="G53" s="1267"/>
      <c r="H53" s="1265"/>
      <c r="I53" s="1205"/>
    </row>
    <row r="54" spans="1:9" ht="16.2" thickBot="1" x14ac:dyDescent="0.35">
      <c r="A54" s="1284"/>
      <c r="B54" s="975" t="s">
        <v>2251</v>
      </c>
      <c r="C54" s="1286"/>
      <c r="D54" s="1287"/>
      <c r="E54" s="1287"/>
      <c r="F54" s="1287"/>
      <c r="G54" s="1287"/>
      <c r="H54" s="1288"/>
      <c r="I54" s="1205"/>
    </row>
    <row r="55" spans="1:9" x14ac:dyDescent="0.25">
      <c r="A55" s="1212"/>
      <c r="B55" s="1289"/>
      <c r="D55" s="1230"/>
      <c r="E55" s="1230"/>
      <c r="I55" s="1205"/>
    </row>
    <row r="56" spans="1:9" x14ac:dyDescent="0.25">
      <c r="A56" s="1212"/>
      <c r="B56" s="1289"/>
      <c r="D56" s="1230"/>
      <c r="E56" s="1230"/>
      <c r="I56" s="1205"/>
    </row>
    <row r="57" spans="1:9" hidden="1" x14ac:dyDescent="0.25">
      <c r="A57" s="1199"/>
      <c r="B57" s="1200" t="s">
        <v>2102</v>
      </c>
      <c r="C57" s="1201"/>
      <c r="D57" s="1201"/>
      <c r="E57" s="1201"/>
      <c r="F57" s="1202"/>
      <c r="G57" s="1202"/>
      <c r="H57" s="1204"/>
      <c r="I57" s="1205"/>
    </row>
    <row r="58" spans="1:9" ht="25.5" hidden="1" customHeight="1" x14ac:dyDescent="0.3">
      <c r="A58" s="1206"/>
      <c r="B58" s="1207" t="s">
        <v>2103</v>
      </c>
      <c r="C58" s="1208"/>
      <c r="D58" s="1208"/>
      <c r="E58" s="1208"/>
      <c r="F58" s="1204"/>
      <c r="G58" s="1204"/>
      <c r="H58" s="1204"/>
      <c r="I58" s="1205"/>
    </row>
    <row r="59" spans="1:9" hidden="1" x14ac:dyDescent="0.3">
      <c r="A59" s="1206"/>
      <c r="B59" s="1207" t="s">
        <v>2124</v>
      </c>
      <c r="C59" s="1208"/>
      <c r="D59" s="1208"/>
      <c r="E59" s="1208"/>
      <c r="F59" s="1204"/>
      <c r="G59" s="1204"/>
      <c r="H59" s="1204"/>
      <c r="I59" s="1204"/>
    </row>
    <row r="60" spans="1:9" hidden="1" x14ac:dyDescent="0.3">
      <c r="A60" s="1206"/>
      <c r="B60" s="1207"/>
      <c r="C60" s="1208"/>
      <c r="D60" s="1208"/>
      <c r="E60" s="1208"/>
      <c r="F60" s="1205"/>
      <c r="G60" s="1210"/>
      <c r="H60" s="1210"/>
      <c r="I60" s="1204"/>
    </row>
    <row r="61" spans="1:9" hidden="1" x14ac:dyDescent="0.3">
      <c r="A61" s="1212"/>
      <c r="B61" s="1213" t="s">
        <v>584</v>
      </c>
      <c r="C61" s="1214" t="s">
        <v>2104</v>
      </c>
      <c r="D61" s="1214"/>
      <c r="E61" s="1214"/>
      <c r="F61" s="1205"/>
      <c r="G61" s="1215"/>
      <c r="H61" s="1215"/>
      <c r="I61" s="1204"/>
    </row>
    <row r="62" spans="1:9" hidden="1" x14ac:dyDescent="0.3">
      <c r="A62" s="1212"/>
      <c r="B62" s="1213"/>
      <c r="C62" s="1214"/>
      <c r="D62" s="1210" t="s">
        <v>2105</v>
      </c>
      <c r="E62" s="1210"/>
      <c r="F62" s="1215"/>
      <c r="G62" s="1215"/>
      <c r="H62" s="1215"/>
      <c r="I62" s="1210"/>
    </row>
    <row r="63" spans="1:9" hidden="1" x14ac:dyDescent="0.3">
      <c r="A63" s="1212"/>
      <c r="B63" s="1217"/>
      <c r="C63" s="1218"/>
      <c r="D63" s="1219" t="s">
        <v>593</v>
      </c>
      <c r="E63" s="1291"/>
      <c r="F63" s="1220"/>
      <c r="G63" s="1220"/>
      <c r="H63" s="1220"/>
      <c r="I63" s="1215"/>
    </row>
    <row r="64" spans="1:9" ht="14.4" hidden="1" thickBot="1" x14ac:dyDescent="0.35">
      <c r="A64" s="1212"/>
      <c r="B64" s="1222"/>
      <c r="C64" s="1223" t="s">
        <v>2125</v>
      </c>
      <c r="D64" s="1224">
        <f>+'[1]Note 9 Ind As'!L21</f>
        <v>383300000</v>
      </c>
      <c r="E64" s="1292"/>
      <c r="F64" s="1225"/>
      <c r="G64" s="1225"/>
      <c r="H64" s="1225"/>
      <c r="I64" s="1205"/>
    </row>
    <row r="65" spans="1:10" hidden="1" x14ac:dyDescent="0.3">
      <c r="A65" s="1212"/>
      <c r="B65" s="1227"/>
      <c r="C65" s="1228" t="s">
        <v>2126</v>
      </c>
      <c r="D65" s="1229">
        <f>+D120</f>
        <v>0</v>
      </c>
      <c r="E65" s="1293"/>
      <c r="F65" s="1215"/>
      <c r="G65" s="1215"/>
      <c r="H65" s="1215"/>
      <c r="I65" s="1205"/>
    </row>
    <row r="66" spans="1:10" ht="14.4" hidden="1" thickBot="1" x14ac:dyDescent="0.35">
      <c r="A66" s="1212"/>
      <c r="B66" s="1222"/>
      <c r="C66" s="1223" t="s">
        <v>2127</v>
      </c>
      <c r="D66" s="1224">
        <f>SUM(D64:D65)</f>
        <v>383300000</v>
      </c>
      <c r="E66" s="1292"/>
      <c r="F66" s="1225"/>
      <c r="G66" s="1225"/>
      <c r="H66" s="1225"/>
      <c r="I66" s="1205"/>
    </row>
    <row r="67" spans="1:10" hidden="1" x14ac:dyDescent="0.3">
      <c r="A67" s="1212"/>
      <c r="B67" s="1227"/>
      <c r="C67" s="1228" t="s">
        <v>2106</v>
      </c>
      <c r="D67" s="1229">
        <f>+'[1]Note 9 Ind As'!H29</f>
        <v>0</v>
      </c>
      <c r="E67" s="1293"/>
      <c r="F67" s="1225"/>
      <c r="G67" s="1225"/>
      <c r="H67" s="1225"/>
      <c r="I67" s="1205"/>
    </row>
    <row r="68" spans="1:10" ht="14.4" hidden="1" thickBot="1" x14ac:dyDescent="0.35">
      <c r="A68" s="1212"/>
      <c r="B68" s="1222"/>
      <c r="C68" s="1223" t="s">
        <v>2107</v>
      </c>
      <c r="D68" s="1224">
        <f>SUM(D66:D67)</f>
        <v>383300000</v>
      </c>
      <c r="E68" s="1292"/>
      <c r="F68" s="1225"/>
      <c r="G68" s="1225"/>
      <c r="H68" s="1225"/>
      <c r="I68" s="1205"/>
    </row>
    <row r="69" spans="1:10" hidden="1" x14ac:dyDescent="0.3">
      <c r="A69" s="1212"/>
      <c r="B69" s="1214"/>
      <c r="C69" s="1214"/>
      <c r="D69" s="1214"/>
      <c r="E69" s="1214"/>
      <c r="F69" s="1225"/>
      <c r="G69" s="1225"/>
      <c r="H69" s="1225"/>
      <c r="I69" s="1205"/>
    </row>
    <row r="70" spans="1:10" hidden="1" x14ac:dyDescent="0.3">
      <c r="A70" s="1212"/>
      <c r="B70" s="1214"/>
      <c r="C70" s="1214"/>
      <c r="D70" s="1214"/>
      <c r="E70" s="1214"/>
      <c r="F70" s="1225"/>
      <c r="G70" s="1225"/>
      <c r="H70" s="1225"/>
      <c r="I70" s="1205"/>
    </row>
    <row r="71" spans="1:10" hidden="1" x14ac:dyDescent="0.3">
      <c r="A71" s="1212"/>
      <c r="B71" s="1213" t="s">
        <v>466</v>
      </c>
      <c r="C71" s="1214" t="s">
        <v>2109</v>
      </c>
      <c r="D71" s="1214"/>
      <c r="E71" s="1214"/>
      <c r="F71" s="1225"/>
      <c r="G71" s="1225"/>
      <c r="H71" s="1225"/>
      <c r="I71" s="1225"/>
    </row>
    <row r="72" spans="1:10" hidden="1" x14ac:dyDescent="0.3">
      <c r="A72" s="1212"/>
      <c r="B72" s="1205"/>
      <c r="C72" s="1205"/>
      <c r="D72" s="1205"/>
      <c r="E72" s="1205"/>
      <c r="F72" s="1225"/>
      <c r="G72" s="1225"/>
      <c r="H72" s="1210" t="s">
        <v>2105</v>
      </c>
      <c r="I72" s="1225"/>
    </row>
    <row r="73" spans="1:10" ht="41.4" hidden="1" x14ac:dyDescent="0.3">
      <c r="A73" s="1212"/>
      <c r="B73" s="1962"/>
      <c r="C73" s="1954"/>
      <c r="D73" s="1964" t="s">
        <v>2110</v>
      </c>
      <c r="E73" s="1965"/>
      <c r="F73" s="1966"/>
      <c r="G73" s="1231" t="s">
        <v>2111</v>
      </c>
      <c r="H73" s="1967" t="s">
        <v>213</v>
      </c>
      <c r="I73" s="1225"/>
    </row>
    <row r="74" spans="1:10" ht="27.6" hidden="1" x14ac:dyDescent="0.3">
      <c r="A74" s="1212"/>
      <c r="B74" s="1963"/>
      <c r="C74" s="1955"/>
      <c r="D74" s="1232" t="s">
        <v>2112</v>
      </c>
      <c r="E74" s="1232"/>
      <c r="F74" s="1232" t="s">
        <v>477</v>
      </c>
      <c r="G74" s="1231" t="s">
        <v>267</v>
      </c>
      <c r="H74" s="1967"/>
    </row>
    <row r="75" spans="1:10" ht="14.4" hidden="1" thickBot="1" x14ac:dyDescent="0.35">
      <c r="A75" s="1212"/>
      <c r="B75" s="1233"/>
      <c r="C75" s="1234" t="s">
        <v>2128</v>
      </c>
      <c r="D75" s="1235">
        <f>+'[1]Note 3 to 14 Ind As'!H81</f>
        <v>1750000</v>
      </c>
      <c r="E75" s="1235"/>
      <c r="F75" s="1235">
        <f>+'[1]Note 3 to 14 Ind As'!H91</f>
        <v>-821647622</v>
      </c>
      <c r="G75" s="1297">
        <f>+'[1]Note 3 to 14 Ind As'!H94</f>
        <v>0</v>
      </c>
      <c r="H75" s="1292">
        <f>SUM(D75:G75)</f>
        <v>-819897622</v>
      </c>
      <c r="I75" s="1205"/>
    </row>
    <row r="76" spans="1:10" hidden="1" x14ac:dyDescent="0.3">
      <c r="A76" s="1212"/>
      <c r="B76" s="1239"/>
      <c r="C76" s="1240"/>
      <c r="D76" s="1241"/>
      <c r="E76" s="1241"/>
      <c r="F76" s="1241"/>
      <c r="G76" s="1298"/>
      <c r="H76" s="1225"/>
      <c r="I76" s="1205"/>
    </row>
    <row r="77" spans="1:10" ht="27.6" hidden="1" x14ac:dyDescent="0.3">
      <c r="A77" s="1212"/>
      <c r="B77" s="1239"/>
      <c r="C77" s="1243" t="s">
        <v>2129</v>
      </c>
      <c r="D77" s="1241"/>
      <c r="E77" s="1241"/>
      <c r="F77" s="1241"/>
      <c r="G77" s="1298"/>
      <c r="H77" s="1225"/>
      <c r="I77" s="1204"/>
      <c r="J77" s="1208"/>
    </row>
    <row r="78" spans="1:10" hidden="1" x14ac:dyDescent="0.3">
      <c r="A78" s="1212"/>
      <c r="B78" s="1239"/>
      <c r="C78" s="1244" t="s">
        <v>2114</v>
      </c>
      <c r="D78" s="1241">
        <v>0</v>
      </c>
      <c r="E78" s="1241"/>
      <c r="F78" s="1245">
        <f>+'[1]Note 3 to 14 Ind As'!G90</f>
        <v>-1437682</v>
      </c>
      <c r="G78" s="1299">
        <v>0</v>
      </c>
      <c r="H78" s="1292">
        <f>SUM(D78:G78)</f>
        <v>-1437682</v>
      </c>
      <c r="I78" s="1205"/>
    </row>
    <row r="79" spans="1:10" hidden="1" x14ac:dyDescent="0.3">
      <c r="A79" s="1212"/>
      <c r="B79" s="1239"/>
      <c r="C79" s="1244" t="s">
        <v>2115</v>
      </c>
      <c r="D79" s="1241"/>
      <c r="E79" s="1241"/>
      <c r="F79" s="1248">
        <f>+'[1]Note 3 to 14 Ind As'!G94</f>
        <v>0</v>
      </c>
      <c r="G79" s="1299">
        <v>0</v>
      </c>
      <c r="H79" s="1292">
        <f>SUM(D79:G79)</f>
        <v>0</v>
      </c>
      <c r="I79" s="1205"/>
    </row>
    <row r="80" spans="1:10" hidden="1" x14ac:dyDescent="0.3">
      <c r="A80" s="1212"/>
      <c r="B80" s="1239"/>
      <c r="C80" s="1243" t="s">
        <v>2116</v>
      </c>
      <c r="D80" s="1241">
        <f>SUM(D78:D79)</f>
        <v>0</v>
      </c>
      <c r="E80" s="1241"/>
      <c r="F80" s="1248">
        <f>SUM(F78:F79)</f>
        <v>-1437682</v>
      </c>
      <c r="G80" s="1298">
        <f>SUM(G78:G79)</f>
        <v>0</v>
      </c>
      <c r="H80" s="1292">
        <f>SUM(H78:H79)</f>
        <v>-1437682</v>
      </c>
      <c r="I80" s="1205"/>
    </row>
    <row r="81" spans="1:13" hidden="1" x14ac:dyDescent="0.3">
      <c r="A81" s="1212"/>
      <c r="B81" s="1249"/>
      <c r="C81" s="1250"/>
      <c r="D81" s="1251"/>
      <c r="E81" s="1251"/>
      <c r="F81" s="1251"/>
      <c r="G81" s="1300"/>
      <c r="H81" s="1225"/>
      <c r="I81" s="1205"/>
    </row>
    <row r="82" spans="1:13" ht="27.6" hidden="1" x14ac:dyDescent="0.3">
      <c r="A82" s="1212"/>
      <c r="B82" s="1253"/>
      <c r="C82" s="1243" t="s">
        <v>2117</v>
      </c>
      <c r="D82" s="1246">
        <v>0</v>
      </c>
      <c r="E82" s="1246"/>
      <c r="F82" s="1246">
        <v>0</v>
      </c>
      <c r="G82" s="1299">
        <v>0</v>
      </c>
      <c r="H82" s="1215">
        <v>0</v>
      </c>
      <c r="I82" s="1205"/>
    </row>
    <row r="83" spans="1:13" ht="14.4" hidden="1" thickBot="1" x14ac:dyDescent="0.35">
      <c r="A83" s="1212"/>
      <c r="B83" s="1222"/>
      <c r="C83" s="1254"/>
      <c r="D83" s="1255"/>
      <c r="E83" s="1255"/>
      <c r="F83" s="1255"/>
      <c r="G83" s="1301"/>
      <c r="H83" s="1225"/>
      <c r="I83" s="1205"/>
    </row>
    <row r="84" spans="1:13" ht="14.4" hidden="1" thickBot="1" x14ac:dyDescent="0.35">
      <c r="A84" s="1212"/>
      <c r="B84" s="1257"/>
      <c r="C84" s="1258" t="s">
        <v>2130</v>
      </c>
      <c r="D84" s="1236">
        <f>D82+D80+D75</f>
        <v>1750000</v>
      </c>
      <c r="E84" s="1236"/>
      <c r="F84" s="1236">
        <f>F82+F80+F75</f>
        <v>-823085304</v>
      </c>
      <c r="G84" s="1302">
        <f>G82+G80+G75</f>
        <v>0</v>
      </c>
      <c r="H84" s="1292">
        <f>H82+H80+H75</f>
        <v>-821335304</v>
      </c>
      <c r="I84" s="1205"/>
    </row>
    <row r="85" spans="1:13" hidden="1" x14ac:dyDescent="0.3">
      <c r="A85" s="1212"/>
      <c r="B85" s="1239"/>
      <c r="C85" s="1240"/>
      <c r="D85" s="1241"/>
      <c r="E85" s="1241"/>
      <c r="F85" s="1241"/>
      <c r="G85" s="1298"/>
      <c r="H85" s="1225"/>
      <c r="I85" s="1205"/>
    </row>
    <row r="86" spans="1:13" ht="27.6" hidden="1" x14ac:dyDescent="0.3">
      <c r="A86" s="1212"/>
      <c r="B86" s="1239"/>
      <c r="C86" s="1260" t="s">
        <v>2113</v>
      </c>
      <c r="D86" s="1241"/>
      <c r="E86" s="1241"/>
      <c r="F86" s="1241"/>
      <c r="G86" s="1298"/>
      <c r="H86" s="1225"/>
      <c r="I86" s="1204"/>
      <c r="J86" s="1259"/>
    </row>
    <row r="87" spans="1:13" hidden="1" x14ac:dyDescent="0.3">
      <c r="A87" s="1212"/>
      <c r="B87" s="1239"/>
      <c r="C87" s="1244" t="s">
        <v>2114</v>
      </c>
      <c r="D87" s="1241">
        <v>0</v>
      </c>
      <c r="E87" s="1241"/>
      <c r="F87" s="1245">
        <f>+'[1]Note 3 to 14 Ind As'!F90</f>
        <v>-1084716</v>
      </c>
      <c r="G87" s="1299">
        <v>0</v>
      </c>
      <c r="H87" s="1292">
        <f>SUM(D87:G87)</f>
        <v>-1084716</v>
      </c>
      <c r="I87" s="1204"/>
      <c r="J87" s="1208"/>
    </row>
    <row r="88" spans="1:13" hidden="1" x14ac:dyDescent="0.3">
      <c r="A88" s="1212"/>
      <c r="B88" s="1239"/>
      <c r="C88" s="1244" t="s">
        <v>2115</v>
      </c>
      <c r="D88" s="1241">
        <v>0</v>
      </c>
      <c r="E88" s="1241"/>
      <c r="F88" s="1248">
        <v>0</v>
      </c>
      <c r="G88" s="1299">
        <f>+'[1]Note 3 to 14 Ind As'!F94</f>
        <v>0</v>
      </c>
      <c r="H88" s="1292">
        <f>SUM(D88:G88)</f>
        <v>0</v>
      </c>
      <c r="I88" s="1204"/>
      <c r="J88" s="1208"/>
    </row>
    <row r="89" spans="1:13" hidden="1" x14ac:dyDescent="0.3">
      <c r="A89" s="1212"/>
      <c r="B89" s="1239"/>
      <c r="C89" s="1243" t="s">
        <v>2116</v>
      </c>
      <c r="D89" s="1241">
        <f>SUM(D87:D88)</f>
        <v>0</v>
      </c>
      <c r="E89" s="1241"/>
      <c r="F89" s="1248">
        <f>SUM(F87:F88)</f>
        <v>-1084716</v>
      </c>
      <c r="G89" s="1298">
        <f>SUM(G87:G88)</f>
        <v>0</v>
      </c>
      <c r="H89" s="1292">
        <f>SUM(H87:H88)</f>
        <v>-1084716</v>
      </c>
      <c r="I89" s="1204"/>
      <c r="J89" s="1208"/>
    </row>
    <row r="90" spans="1:13" hidden="1" x14ac:dyDescent="0.3">
      <c r="A90" s="1212"/>
      <c r="B90" s="1249"/>
      <c r="C90" s="1250"/>
      <c r="D90" s="1251"/>
      <c r="E90" s="1251"/>
      <c r="F90" s="1251"/>
      <c r="G90" s="1300"/>
      <c r="H90" s="1225"/>
      <c r="I90" s="1204"/>
      <c r="J90" s="1208"/>
    </row>
    <row r="91" spans="1:13" hidden="1" x14ac:dyDescent="0.3">
      <c r="A91" s="1212"/>
      <c r="B91" s="1253"/>
      <c r="C91" s="1243" t="s">
        <v>2120</v>
      </c>
      <c r="D91" s="1245">
        <v>0</v>
      </c>
      <c r="E91" s="1245"/>
      <c r="F91" s="1246">
        <v>0</v>
      </c>
      <c r="G91" s="1299">
        <v>0</v>
      </c>
      <c r="H91" s="1303">
        <f>SUM(D91:G91)</f>
        <v>0</v>
      </c>
      <c r="I91" s="1204"/>
      <c r="J91" s="1208"/>
    </row>
    <row r="92" spans="1:13" ht="14.4" hidden="1" thickBot="1" x14ac:dyDescent="0.35">
      <c r="A92" s="1212"/>
      <c r="B92" s="1222"/>
      <c r="C92" s="1254"/>
      <c r="D92" s="1255"/>
      <c r="E92" s="1255"/>
      <c r="F92" s="1255"/>
      <c r="G92" s="1301"/>
      <c r="H92" s="1225"/>
      <c r="I92" s="1204"/>
      <c r="J92" s="1208"/>
    </row>
    <row r="93" spans="1:13" ht="14.4" hidden="1" thickBot="1" x14ac:dyDescent="0.35">
      <c r="A93" s="1212"/>
      <c r="B93" s="1257"/>
      <c r="C93" s="1258" t="s">
        <v>2118</v>
      </c>
      <c r="D93" s="1236">
        <f>D91+D89+D84</f>
        <v>1750000</v>
      </c>
      <c r="E93" s="1236"/>
      <c r="F93" s="1236">
        <f>F91+F89+F84</f>
        <v>-824170020</v>
      </c>
      <c r="G93" s="1302">
        <f>G91+G89+G84</f>
        <v>0</v>
      </c>
      <c r="H93" s="1292">
        <f>H91+H89+H84</f>
        <v>-822420020</v>
      </c>
      <c r="I93" s="1204"/>
      <c r="J93" s="1208"/>
    </row>
    <row r="94" spans="1:13" hidden="1" x14ac:dyDescent="0.3">
      <c r="A94" s="1212"/>
      <c r="B94" s="1214"/>
      <c r="C94" s="1214"/>
      <c r="D94" s="1225"/>
      <c r="E94" s="1225"/>
      <c r="F94" s="1225"/>
      <c r="G94" s="1225"/>
      <c r="H94" s="1225"/>
      <c r="I94" s="1204"/>
      <c r="J94" s="1208"/>
    </row>
    <row r="95" spans="1:13" hidden="1" x14ac:dyDescent="0.3">
      <c r="A95" s="1212"/>
      <c r="D95" s="1230"/>
      <c r="E95" s="1230"/>
      <c r="I95" s="1204"/>
      <c r="J95" s="1259"/>
      <c r="K95" s="1262"/>
      <c r="L95" s="1262"/>
      <c r="M95" s="1262"/>
    </row>
    <row r="96" spans="1:13" hidden="1" x14ac:dyDescent="0.25">
      <c r="A96" s="1212"/>
      <c r="B96" s="1968" t="s">
        <v>2121</v>
      </c>
      <c r="C96" s="1968"/>
      <c r="D96" s="1266" t="s">
        <v>2122</v>
      </c>
      <c r="E96" s="1266"/>
      <c r="F96" s="1267"/>
      <c r="G96" s="1267"/>
      <c r="I96" s="1204"/>
      <c r="J96" s="1259"/>
      <c r="K96" s="1259"/>
      <c r="L96" s="1259"/>
      <c r="M96" s="1259"/>
    </row>
    <row r="97" spans="1:9" hidden="1" x14ac:dyDescent="0.25">
      <c r="A97" s="1212"/>
      <c r="B97" s="1268" t="str">
        <f>+B150</f>
        <v>For M M REDDY &amp; CO.,</v>
      </c>
      <c r="D97" s="1266" t="s">
        <v>2123</v>
      </c>
      <c r="E97" s="1266"/>
      <c r="F97" s="1269"/>
      <c r="G97" s="1270"/>
      <c r="I97" s="1205"/>
    </row>
    <row r="98" spans="1:9" hidden="1" x14ac:dyDescent="0.3">
      <c r="A98" s="1212"/>
      <c r="B98" s="1961" t="s">
        <v>251</v>
      </c>
      <c r="C98" s="1961"/>
      <c r="D98" s="1270"/>
      <c r="E98" s="1270"/>
      <c r="F98" s="1271"/>
      <c r="G98" s="1270"/>
      <c r="I98" s="1205"/>
    </row>
    <row r="99" spans="1:9" hidden="1" x14ac:dyDescent="0.25">
      <c r="A99" s="1212"/>
      <c r="B99" s="1268"/>
      <c r="D99" s="1272"/>
      <c r="E99" s="1272"/>
      <c r="F99" s="1269"/>
      <c r="G99" s="1269"/>
      <c r="I99" s="1205"/>
    </row>
    <row r="100" spans="1:9" hidden="1" x14ac:dyDescent="0.25">
      <c r="A100" s="1212"/>
      <c r="B100" s="1268"/>
      <c r="D100" s="1273"/>
      <c r="E100" s="1273"/>
      <c r="F100" s="1274"/>
      <c r="G100" s="1274"/>
      <c r="H100" s="1267"/>
      <c r="I100" s="1205"/>
    </row>
    <row r="101" spans="1:9" hidden="1" x14ac:dyDescent="0.25">
      <c r="A101" s="1212"/>
      <c r="B101" s="1268"/>
      <c r="D101" s="1278"/>
      <c r="E101" s="1278"/>
      <c r="F101" s="1269"/>
      <c r="G101" s="1269"/>
      <c r="H101" s="1279"/>
      <c r="I101" s="1205"/>
    </row>
    <row r="102" spans="1:9" hidden="1" x14ac:dyDescent="0.25">
      <c r="A102" s="1212"/>
      <c r="B102" s="1268" t="str">
        <f>+B155</f>
        <v>M Madhusudhana Reddy</v>
      </c>
      <c r="D102" s="1276" t="s">
        <v>365</v>
      </c>
      <c r="E102" s="1276"/>
      <c r="F102" s="1267"/>
      <c r="G102" s="1267"/>
      <c r="H102" s="1279"/>
      <c r="I102" s="1205"/>
    </row>
    <row r="103" spans="1:9" hidden="1" x14ac:dyDescent="0.25">
      <c r="A103" s="1212"/>
      <c r="B103" s="1268" t="str">
        <f>+B156</f>
        <v xml:space="preserve">Partner                                                            </v>
      </c>
      <c r="D103" s="700"/>
      <c r="E103" s="700"/>
      <c r="F103" s="1279"/>
      <c r="G103" s="1279"/>
      <c r="H103" s="1283"/>
      <c r="I103" s="1205"/>
    </row>
    <row r="104" spans="1:9" hidden="1" x14ac:dyDescent="0.25">
      <c r="A104" s="1212"/>
      <c r="B104" s="1281" t="str">
        <f>+B157</f>
        <v>Membership No. 213077</v>
      </c>
      <c r="D104" s="700"/>
      <c r="E104" s="700"/>
      <c r="F104" s="1279"/>
      <c r="G104" s="1279"/>
      <c r="H104" s="1267"/>
      <c r="I104" s="1205"/>
    </row>
    <row r="105" spans="1:9" hidden="1" x14ac:dyDescent="0.25">
      <c r="A105" s="1212"/>
      <c r="B105" s="1281" t="s">
        <v>211</v>
      </c>
      <c r="D105" s="1282"/>
      <c r="E105" s="1282"/>
      <c r="F105" s="1283"/>
      <c r="G105" s="1283"/>
      <c r="I105" s="1205"/>
    </row>
    <row r="106" spans="1:9" hidden="1" x14ac:dyDescent="0.25">
      <c r="A106" s="1212"/>
      <c r="B106" s="1268" t="s">
        <v>2131</v>
      </c>
      <c r="D106" s="1276" t="s">
        <v>365</v>
      </c>
      <c r="E106" s="1276"/>
      <c r="F106" s="1267"/>
      <c r="G106" s="1267"/>
      <c r="I106" s="1205"/>
    </row>
    <row r="107" spans="1:9" ht="14.4" hidden="1" thickBot="1" x14ac:dyDescent="0.3">
      <c r="A107" s="1284"/>
      <c r="B107" s="1285" t="str">
        <f>+B160</f>
        <v>Date  :  30-06-2020</v>
      </c>
      <c r="C107" s="1286"/>
      <c r="D107" s="1287"/>
      <c r="E107" s="1287"/>
      <c r="F107" s="1287"/>
      <c r="G107" s="1287"/>
      <c r="I107" s="1205"/>
    </row>
    <row r="108" spans="1:9" hidden="1" x14ac:dyDescent="0.25">
      <c r="B108" s="1289"/>
      <c r="D108" s="1230"/>
      <c r="E108" s="1230"/>
      <c r="I108" s="1205"/>
    </row>
    <row r="109" spans="1:9" ht="14.4" hidden="1" thickBot="1" x14ac:dyDescent="0.35">
      <c r="B109" s="1207"/>
      <c r="C109" s="1290"/>
      <c r="D109" s="1290"/>
      <c r="E109" s="1290"/>
      <c r="F109" s="1290"/>
      <c r="G109" s="1205"/>
      <c r="H109" s="1205"/>
      <c r="I109" s="1205"/>
    </row>
    <row r="110" spans="1:9" hidden="1" x14ac:dyDescent="0.25">
      <c r="A110" s="1199"/>
      <c r="B110" s="1200" t="s">
        <v>2102</v>
      </c>
      <c r="C110" s="1201"/>
      <c r="D110" s="1201"/>
      <c r="E110" s="1201"/>
      <c r="F110" s="1202"/>
      <c r="G110" s="1202"/>
      <c r="H110" s="1204"/>
    </row>
    <row r="111" spans="1:9" hidden="1" x14ac:dyDescent="0.3">
      <c r="A111" s="1206"/>
      <c r="B111" s="1207" t="s">
        <v>2103</v>
      </c>
      <c r="C111" s="1208"/>
      <c r="D111" s="1208"/>
      <c r="E111" s="1208"/>
      <c r="F111" s="1204"/>
      <c r="G111" s="1204"/>
      <c r="H111" s="1204"/>
    </row>
    <row r="112" spans="1:9" hidden="1" x14ac:dyDescent="0.3">
      <c r="A112" s="1206"/>
      <c r="B112" s="1207" t="s">
        <v>2132</v>
      </c>
      <c r="C112" s="1208"/>
      <c r="D112" s="1208"/>
      <c r="E112" s="1208"/>
      <c r="F112" s="1204"/>
      <c r="G112" s="1204"/>
      <c r="H112" s="1204"/>
    </row>
    <row r="113" spans="1:8" hidden="1" x14ac:dyDescent="0.3">
      <c r="A113" s="1206"/>
      <c r="B113" s="1207"/>
      <c r="C113" s="1208"/>
      <c r="D113" s="1208"/>
      <c r="E113" s="1208"/>
      <c r="F113" s="1205"/>
      <c r="G113" s="1210"/>
      <c r="H113" s="1210"/>
    </row>
    <row r="114" spans="1:8" hidden="1" x14ac:dyDescent="0.3">
      <c r="A114" s="1212"/>
      <c r="B114" s="1213" t="s">
        <v>584</v>
      </c>
      <c r="C114" s="1214" t="s">
        <v>2104</v>
      </c>
      <c r="D114" s="1214"/>
      <c r="E114" s="1214"/>
      <c r="F114" s="1205"/>
      <c r="G114" s="1215"/>
      <c r="H114" s="1215"/>
    </row>
    <row r="115" spans="1:8" hidden="1" x14ac:dyDescent="0.3">
      <c r="A115" s="1212"/>
      <c r="B115" s="1213"/>
      <c r="C115" s="1214"/>
      <c r="D115" s="1210" t="s">
        <v>2105</v>
      </c>
      <c r="E115" s="1210"/>
      <c r="F115" s="1215"/>
      <c r="G115" s="1215"/>
      <c r="H115" s="1215"/>
    </row>
    <row r="116" spans="1:8" hidden="1" x14ac:dyDescent="0.3">
      <c r="A116" s="1212"/>
      <c r="B116" s="1217"/>
      <c r="C116" s="1218"/>
      <c r="D116" s="1219" t="s">
        <v>593</v>
      </c>
      <c r="E116" s="1291"/>
      <c r="F116" s="1220"/>
      <c r="G116" s="1220"/>
      <c r="H116" s="1220"/>
    </row>
    <row r="117" spans="1:8" ht="14.4" hidden="1" thickBot="1" x14ac:dyDescent="0.35">
      <c r="A117" s="1212"/>
      <c r="B117" s="1222"/>
      <c r="C117" s="1223" t="s">
        <v>2133</v>
      </c>
      <c r="D117" s="1224">
        <f>'[1]Note 9 Ind As'!N21</f>
        <v>383300000</v>
      </c>
      <c r="E117" s="1292"/>
      <c r="F117" s="1225"/>
      <c r="G117" s="1225"/>
      <c r="H117" s="1225"/>
    </row>
    <row r="118" spans="1:8" hidden="1" x14ac:dyDescent="0.3">
      <c r="A118" s="1212"/>
      <c r="B118" s="1227"/>
      <c r="C118" s="1228" t="s">
        <v>2134</v>
      </c>
      <c r="D118" s="1229">
        <f>+'[1]Note 9 Ind As'!L30</f>
        <v>0</v>
      </c>
      <c r="E118" s="1293"/>
      <c r="F118" s="1215"/>
      <c r="G118" s="1215"/>
      <c r="H118" s="1215"/>
    </row>
    <row r="119" spans="1:8" ht="14.4" hidden="1" thickBot="1" x14ac:dyDescent="0.35">
      <c r="A119" s="1212"/>
      <c r="B119" s="1222"/>
      <c r="C119" s="1223" t="s">
        <v>2135</v>
      </c>
      <c r="D119" s="1224">
        <f>SUM(D117:D118)</f>
        <v>383300000</v>
      </c>
      <c r="E119" s="1292"/>
      <c r="F119" s="1225"/>
      <c r="G119" s="1225"/>
      <c r="H119" s="1225"/>
    </row>
    <row r="120" spans="1:8" hidden="1" x14ac:dyDescent="0.3">
      <c r="A120" s="1212"/>
      <c r="B120" s="1227"/>
      <c r="C120" s="1228" t="s">
        <v>2126</v>
      </c>
      <c r="D120" s="1229">
        <f>+'[1]Note 9 Ind As'!J29</f>
        <v>0</v>
      </c>
      <c r="E120" s="1293"/>
      <c r="F120" s="1225"/>
      <c r="G120" s="1225"/>
      <c r="H120" s="1225"/>
    </row>
    <row r="121" spans="1:8" ht="14.4" hidden="1" thickBot="1" x14ac:dyDescent="0.35">
      <c r="A121" s="1212"/>
      <c r="B121" s="1222"/>
      <c r="C121" s="1223" t="s">
        <v>2127</v>
      </c>
      <c r="D121" s="1224">
        <f>SUM(D119:D120)</f>
        <v>383300000</v>
      </c>
      <c r="E121" s="1292"/>
      <c r="F121" s="1225"/>
      <c r="G121" s="1225"/>
      <c r="H121" s="1225"/>
    </row>
    <row r="122" spans="1:8" hidden="1" x14ac:dyDescent="0.3">
      <c r="A122" s="1212"/>
      <c r="B122" s="1214"/>
      <c r="C122" s="1214"/>
      <c r="D122" s="1214"/>
      <c r="E122" s="1214"/>
      <c r="F122" s="1225"/>
      <c r="G122" s="1225"/>
      <c r="H122" s="1225"/>
    </row>
    <row r="123" spans="1:8" hidden="1" x14ac:dyDescent="0.3">
      <c r="A123" s="1212"/>
      <c r="B123" s="1214"/>
      <c r="C123" s="1214"/>
      <c r="D123" s="1214"/>
      <c r="E123" s="1214"/>
      <c r="F123" s="1225"/>
      <c r="G123" s="1225"/>
      <c r="H123" s="1225"/>
    </row>
    <row r="124" spans="1:8" hidden="1" x14ac:dyDescent="0.3">
      <c r="A124" s="1212"/>
      <c r="B124" s="1213" t="s">
        <v>466</v>
      </c>
      <c r="C124" s="1214" t="s">
        <v>2109</v>
      </c>
      <c r="D124" s="1214"/>
      <c r="E124" s="1214"/>
      <c r="F124" s="1225"/>
      <c r="G124" s="1225"/>
      <c r="H124" s="1225"/>
    </row>
    <row r="125" spans="1:8" hidden="1" x14ac:dyDescent="0.3">
      <c r="A125" s="1212"/>
      <c r="B125" s="1205"/>
      <c r="C125" s="1205"/>
      <c r="D125" s="1205"/>
      <c r="E125" s="1205"/>
      <c r="F125" s="1225"/>
      <c r="G125" s="1225"/>
      <c r="H125" s="1210" t="s">
        <v>2105</v>
      </c>
    </row>
    <row r="126" spans="1:8" ht="41.4" hidden="1" x14ac:dyDescent="0.3">
      <c r="A126" s="1212"/>
      <c r="B126" s="1962"/>
      <c r="C126" s="1954"/>
      <c r="D126" s="1964" t="s">
        <v>2110</v>
      </c>
      <c r="E126" s="1965"/>
      <c r="F126" s="1966"/>
      <c r="G126" s="1231" t="s">
        <v>2111</v>
      </c>
      <c r="H126" s="1967" t="s">
        <v>213</v>
      </c>
    </row>
    <row r="127" spans="1:8" ht="27.6" hidden="1" x14ac:dyDescent="0.3">
      <c r="A127" s="1212"/>
      <c r="B127" s="1963"/>
      <c r="C127" s="1955"/>
      <c r="D127" s="1232" t="s">
        <v>2112</v>
      </c>
      <c r="E127" s="1232"/>
      <c r="F127" s="1232" t="s">
        <v>477</v>
      </c>
      <c r="G127" s="1231" t="s">
        <v>267</v>
      </c>
      <c r="H127" s="1967"/>
    </row>
    <row r="128" spans="1:8" ht="14.4" hidden="1" thickBot="1" x14ac:dyDescent="0.35">
      <c r="A128" s="1212"/>
      <c r="B128" s="1233"/>
      <c r="C128" s="1234" t="s">
        <v>2136</v>
      </c>
      <c r="D128" s="1235">
        <f>'[1]Note 3 to 14 Ind As'!H81</f>
        <v>1750000</v>
      </c>
      <c r="E128" s="1235"/>
      <c r="F128" s="1235">
        <f>'[1]Note 3 to 14 Ind As'!H89</f>
        <v>-818519423</v>
      </c>
      <c r="G128" s="1297">
        <v>0</v>
      </c>
      <c r="H128" s="1292">
        <f>SUM(D128:G128)</f>
        <v>-816769423</v>
      </c>
    </row>
    <row r="129" spans="1:8" hidden="1" x14ac:dyDescent="0.3">
      <c r="A129" s="1212"/>
      <c r="B129" s="1239"/>
      <c r="C129" s="1240"/>
      <c r="D129" s="1241"/>
      <c r="E129" s="1241"/>
      <c r="F129" s="1241"/>
      <c r="G129" s="1298"/>
      <c r="H129" s="1225"/>
    </row>
    <row r="130" spans="1:8" ht="27.6" hidden="1" x14ac:dyDescent="0.3">
      <c r="A130" s="1212"/>
      <c r="B130" s="1239"/>
      <c r="C130" s="1243" t="s">
        <v>2137</v>
      </c>
      <c r="D130" s="1241"/>
      <c r="E130" s="1241"/>
      <c r="F130" s="1241"/>
      <c r="G130" s="1298"/>
      <c r="H130" s="1225"/>
    </row>
    <row r="131" spans="1:8" hidden="1" x14ac:dyDescent="0.3">
      <c r="A131" s="1212"/>
      <c r="B131" s="1239"/>
      <c r="C131" s="1244" t="s">
        <v>2114</v>
      </c>
      <c r="D131" s="1241"/>
      <c r="E131" s="1241"/>
      <c r="F131" s="1245">
        <f>'[1]Note 3 to 14 Ind As'!H90</f>
        <v>-3128199</v>
      </c>
      <c r="G131" s="1299">
        <v>0</v>
      </c>
      <c r="H131" s="1292">
        <f>SUM(D131:G131)</f>
        <v>-3128199</v>
      </c>
    </row>
    <row r="132" spans="1:8" hidden="1" x14ac:dyDescent="0.3">
      <c r="A132" s="1212"/>
      <c r="B132" s="1239"/>
      <c r="C132" s="1244" t="s">
        <v>2115</v>
      </c>
      <c r="D132" s="1241"/>
      <c r="E132" s="1241"/>
      <c r="F132" s="1248">
        <v>0</v>
      </c>
      <c r="G132" s="1299">
        <v>0</v>
      </c>
      <c r="H132" s="1292">
        <f>SUM(D132:G132)</f>
        <v>0</v>
      </c>
    </row>
    <row r="133" spans="1:8" hidden="1" x14ac:dyDescent="0.3">
      <c r="A133" s="1212"/>
      <c r="B133" s="1239"/>
      <c r="C133" s="1243" t="s">
        <v>2116</v>
      </c>
      <c r="D133" s="1241">
        <f>SUM(D131:D132)</f>
        <v>0</v>
      </c>
      <c r="E133" s="1241"/>
      <c r="F133" s="1248">
        <f>SUM(F131:F132)</f>
        <v>-3128199</v>
      </c>
      <c r="G133" s="1298">
        <f>SUM(G131:G132)</f>
        <v>0</v>
      </c>
      <c r="H133" s="1292">
        <f>SUM(H131:H132)</f>
        <v>-3128199</v>
      </c>
    </row>
    <row r="134" spans="1:8" hidden="1" x14ac:dyDescent="0.3">
      <c r="A134" s="1212"/>
      <c r="B134" s="1249"/>
      <c r="C134" s="1250"/>
      <c r="D134" s="1251"/>
      <c r="E134" s="1251"/>
      <c r="F134" s="1251"/>
      <c r="G134" s="1300"/>
      <c r="H134" s="1225"/>
    </row>
    <row r="135" spans="1:8" ht="27.6" hidden="1" x14ac:dyDescent="0.3">
      <c r="A135" s="1212"/>
      <c r="B135" s="1253"/>
      <c r="C135" s="1243" t="s">
        <v>2117</v>
      </c>
      <c r="D135" s="1246">
        <v>0</v>
      </c>
      <c r="E135" s="1246"/>
      <c r="F135" s="1246">
        <v>0</v>
      </c>
      <c r="G135" s="1299">
        <v>0</v>
      </c>
      <c r="H135" s="1215">
        <v>0</v>
      </c>
    </row>
    <row r="136" spans="1:8" ht="14.4" hidden="1" thickBot="1" x14ac:dyDescent="0.35">
      <c r="A136" s="1212"/>
      <c r="B136" s="1222"/>
      <c r="C136" s="1254"/>
      <c r="D136" s="1255"/>
      <c r="E136" s="1255"/>
      <c r="F136" s="1255"/>
      <c r="G136" s="1301"/>
      <c r="H136" s="1225"/>
    </row>
    <row r="137" spans="1:8" ht="14.4" hidden="1" thickBot="1" x14ac:dyDescent="0.35">
      <c r="A137" s="1212"/>
      <c r="B137" s="1257"/>
      <c r="C137" s="1258" t="s">
        <v>2138</v>
      </c>
      <c r="D137" s="1236">
        <f>D135+D133+D128</f>
        <v>1750000</v>
      </c>
      <c r="E137" s="1236"/>
      <c r="F137" s="1236">
        <f>F135+F133+F128</f>
        <v>-821647622</v>
      </c>
      <c r="G137" s="1302">
        <f>G135+G133+G128</f>
        <v>0</v>
      </c>
      <c r="H137" s="1292">
        <f>H135+H133+H128</f>
        <v>-819897622</v>
      </c>
    </row>
    <row r="138" spans="1:8" hidden="1" x14ac:dyDescent="0.3">
      <c r="A138" s="1212"/>
      <c r="B138" s="1239"/>
      <c r="C138" s="1240"/>
      <c r="D138" s="1241"/>
      <c r="E138" s="1241"/>
      <c r="F138" s="1241"/>
      <c r="G138" s="1298"/>
      <c r="H138" s="1225"/>
    </row>
    <row r="139" spans="1:8" ht="27.6" hidden="1" x14ac:dyDescent="0.3">
      <c r="A139" s="1212"/>
      <c r="B139" s="1239"/>
      <c r="C139" s="1260" t="s">
        <v>2129</v>
      </c>
      <c r="D139" s="1241"/>
      <c r="E139" s="1241"/>
      <c r="F139" s="1241"/>
      <c r="G139" s="1298"/>
      <c r="H139" s="1225"/>
    </row>
    <row r="140" spans="1:8" hidden="1" x14ac:dyDescent="0.3">
      <c r="A140" s="1212"/>
      <c r="B140" s="1239"/>
      <c r="C140" s="1244" t="s">
        <v>2114</v>
      </c>
      <c r="D140" s="1241">
        <v>0</v>
      </c>
      <c r="E140" s="1241"/>
      <c r="F140" s="1245">
        <f>'[1]Ind AS P&amp;L '!G35</f>
        <v>-1437682</v>
      </c>
      <c r="G140" s="1299">
        <v>0</v>
      </c>
      <c r="H140" s="1292">
        <f>SUM(D140:G140)</f>
        <v>-1437682</v>
      </c>
    </row>
    <row r="141" spans="1:8" hidden="1" x14ac:dyDescent="0.3">
      <c r="A141" s="1212"/>
      <c r="B141" s="1239"/>
      <c r="C141" s="1244" t="s">
        <v>2115</v>
      </c>
      <c r="D141" s="1241">
        <v>0</v>
      </c>
      <c r="E141" s="1241"/>
      <c r="F141" s="1248">
        <v>0</v>
      </c>
      <c r="G141" s="1299">
        <v>0</v>
      </c>
      <c r="H141" s="1292">
        <f>SUM(D141:G141)</f>
        <v>0</v>
      </c>
    </row>
    <row r="142" spans="1:8" hidden="1" x14ac:dyDescent="0.3">
      <c r="A142" s="1212"/>
      <c r="B142" s="1239"/>
      <c r="C142" s="1243" t="s">
        <v>2116</v>
      </c>
      <c r="D142" s="1241">
        <f>SUM(D140:D141)</f>
        <v>0</v>
      </c>
      <c r="E142" s="1241"/>
      <c r="F142" s="1248">
        <f>SUM(F140:F141)</f>
        <v>-1437682</v>
      </c>
      <c r="G142" s="1298">
        <f>SUM(G140:G141)</f>
        <v>0</v>
      </c>
      <c r="H142" s="1292">
        <f>SUM(H140:H141)</f>
        <v>-1437682</v>
      </c>
    </row>
    <row r="143" spans="1:8" hidden="1" x14ac:dyDescent="0.3">
      <c r="A143" s="1212"/>
      <c r="B143" s="1249"/>
      <c r="C143" s="1250"/>
      <c r="D143" s="1251"/>
      <c r="E143" s="1251"/>
      <c r="F143" s="1251"/>
      <c r="G143" s="1300"/>
      <c r="H143" s="1225"/>
    </row>
    <row r="144" spans="1:8" hidden="1" x14ac:dyDescent="0.3">
      <c r="A144" s="1212"/>
      <c r="B144" s="1253"/>
      <c r="C144" s="1243" t="s">
        <v>2120</v>
      </c>
      <c r="D144" s="1245">
        <v>0</v>
      </c>
      <c r="E144" s="1245"/>
      <c r="F144" s="1246">
        <v>0</v>
      </c>
      <c r="G144" s="1299">
        <v>0</v>
      </c>
      <c r="H144" s="1303">
        <f>SUM(D144:G144)</f>
        <v>0</v>
      </c>
    </row>
    <row r="145" spans="1:8" ht="14.4" hidden="1" thickBot="1" x14ac:dyDescent="0.35">
      <c r="A145" s="1212"/>
      <c r="B145" s="1222"/>
      <c r="C145" s="1254"/>
      <c r="D145" s="1255"/>
      <c r="E145" s="1255"/>
      <c r="F145" s="1255"/>
      <c r="G145" s="1301"/>
      <c r="H145" s="1225"/>
    </row>
    <row r="146" spans="1:8" ht="14.4" hidden="1" thickBot="1" x14ac:dyDescent="0.35">
      <c r="A146" s="1212"/>
      <c r="B146" s="1257"/>
      <c r="C146" s="1258" t="s">
        <v>2130</v>
      </c>
      <c r="D146" s="1236">
        <f>D144+D142+D137</f>
        <v>1750000</v>
      </c>
      <c r="E146" s="1236"/>
      <c r="F146" s="1236">
        <f>F144+F142+F137</f>
        <v>-823085304</v>
      </c>
      <c r="G146" s="1302">
        <f>G144+G142+G137</f>
        <v>0</v>
      </c>
      <c r="H146" s="1292">
        <f>H144+H142+H137</f>
        <v>-821335304</v>
      </c>
    </row>
    <row r="147" spans="1:8" hidden="1" x14ac:dyDescent="0.3">
      <c r="A147" s="1212"/>
      <c r="B147" s="1214"/>
      <c r="C147" s="1214"/>
      <c r="D147" s="1225">
        <f>+D146-D84</f>
        <v>0</v>
      </c>
      <c r="E147" s="1225"/>
      <c r="F147" s="1225">
        <f>+F146-F84</f>
        <v>0</v>
      </c>
      <c r="G147" s="1225">
        <f>+G146-G84</f>
        <v>0</v>
      </c>
      <c r="H147" s="1225">
        <f>+H146-H84</f>
        <v>0</v>
      </c>
    </row>
    <row r="148" spans="1:8" hidden="1" x14ac:dyDescent="0.3">
      <c r="A148" s="1212"/>
      <c r="D148" s="1230"/>
      <c r="E148" s="1230"/>
    </row>
    <row r="149" spans="1:8" hidden="1" x14ac:dyDescent="0.25">
      <c r="A149" s="1212"/>
      <c r="B149" s="1968" t="s">
        <v>2121</v>
      </c>
      <c r="C149" s="1968"/>
      <c r="D149" s="1266" t="s">
        <v>2122</v>
      </c>
      <c r="E149" s="1266"/>
      <c r="F149" s="1267"/>
      <c r="G149" s="1267"/>
    </row>
    <row r="150" spans="1:8" hidden="1" x14ac:dyDescent="0.25">
      <c r="A150" s="1212"/>
      <c r="B150" s="1268" t="str">
        <f>'[1]Ind As BS '!B58</f>
        <v>For M M REDDY &amp; CO.,</v>
      </c>
      <c r="D150" s="1266" t="s">
        <v>2123</v>
      </c>
      <c r="E150" s="1266"/>
      <c r="F150" s="1269"/>
      <c r="G150" s="1270"/>
    </row>
    <row r="151" spans="1:8" hidden="1" x14ac:dyDescent="0.3">
      <c r="A151" s="1212"/>
      <c r="B151" s="1961" t="s">
        <v>251</v>
      </c>
      <c r="C151" s="1961"/>
      <c r="D151" s="1270"/>
      <c r="E151" s="1270"/>
      <c r="F151" s="1271"/>
      <c r="G151" s="1270"/>
    </row>
    <row r="152" spans="1:8" hidden="1" x14ac:dyDescent="0.25">
      <c r="A152" s="1212"/>
      <c r="B152" s="1268"/>
      <c r="D152" s="1272"/>
      <c r="E152" s="1272"/>
      <c r="F152" s="1269"/>
      <c r="G152" s="1269"/>
    </row>
    <row r="153" spans="1:8" hidden="1" x14ac:dyDescent="0.25">
      <c r="A153" s="1212"/>
      <c r="B153" s="1268"/>
      <c r="D153" s="1273"/>
      <c r="E153" s="1273"/>
      <c r="F153" s="1274"/>
      <c r="G153" s="1274"/>
      <c r="H153" s="1267"/>
    </row>
    <row r="154" spans="1:8" hidden="1" x14ac:dyDescent="0.25">
      <c r="A154" s="1212"/>
      <c r="B154" s="1268"/>
      <c r="D154" s="1278"/>
      <c r="E154" s="1278"/>
      <c r="F154" s="1269"/>
      <c r="G154" s="1269"/>
      <c r="H154" s="1279"/>
    </row>
    <row r="155" spans="1:8" hidden="1" x14ac:dyDescent="0.25">
      <c r="A155" s="1212"/>
      <c r="B155" s="1268" t="str">
        <f>'[1]Ind As BS '!B64</f>
        <v>M Madhusudhana Reddy</v>
      </c>
      <c r="D155" s="1276" t="s">
        <v>365</v>
      </c>
      <c r="E155" s="1276"/>
      <c r="F155" s="1267"/>
      <c r="G155" s="1267"/>
      <c r="H155" s="1279"/>
    </row>
    <row r="156" spans="1:8" hidden="1" x14ac:dyDescent="0.25">
      <c r="A156" s="1212"/>
      <c r="B156" s="1268" t="str">
        <f>'[1]Ind As BS '!B65</f>
        <v xml:space="preserve">Partner                                                            </v>
      </c>
      <c r="D156" s="700"/>
      <c r="E156" s="700"/>
      <c r="F156" s="1279"/>
      <c r="G156" s="1279"/>
      <c r="H156" s="1283"/>
    </row>
    <row r="157" spans="1:8" hidden="1" x14ac:dyDescent="0.25">
      <c r="A157" s="1212"/>
      <c r="B157" s="1281" t="str">
        <f>'[1]Ind As BS '!B66</f>
        <v>Membership No. 213077</v>
      </c>
      <c r="D157" s="700"/>
      <c r="E157" s="700"/>
      <c r="F157" s="1279"/>
      <c r="G157" s="1279"/>
      <c r="H157" s="1267"/>
    </row>
    <row r="158" spans="1:8" hidden="1" x14ac:dyDescent="0.25">
      <c r="A158" s="1212"/>
      <c r="B158" s="1281" t="s">
        <v>211</v>
      </c>
      <c r="D158" s="1282"/>
      <c r="E158" s="1282"/>
      <c r="F158" s="1283"/>
      <c r="G158" s="1283"/>
    </row>
    <row r="159" spans="1:8" hidden="1" x14ac:dyDescent="0.25">
      <c r="A159" s="1212"/>
      <c r="B159" s="1268" t="s">
        <v>2131</v>
      </c>
      <c r="D159" s="1276" t="s">
        <v>365</v>
      </c>
      <c r="E159" s="1276"/>
      <c r="F159" s="1267"/>
      <c r="G159" s="1267"/>
    </row>
    <row r="160" spans="1:8" ht="14.4" hidden="1" thickBot="1" x14ac:dyDescent="0.3">
      <c r="A160" s="1284"/>
      <c r="B160" s="1285" t="str">
        <f>'[1]Ind As BS '!B69</f>
        <v>Date  :  30-06-2020</v>
      </c>
      <c r="C160" s="1286"/>
      <c r="D160" s="1287"/>
      <c r="E160" s="1287"/>
      <c r="F160" s="1287"/>
      <c r="G160" s="1287"/>
    </row>
    <row r="161" hidden="1" x14ac:dyDescent="0.3"/>
  </sheetData>
  <mergeCells count="16">
    <mergeCell ref="B20:B21"/>
    <mergeCell ref="C20:C21"/>
    <mergeCell ref="D20:F20"/>
    <mergeCell ref="H20:H21"/>
    <mergeCell ref="B151:C151"/>
    <mergeCell ref="B73:B74"/>
    <mergeCell ref="C73:C74"/>
    <mergeCell ref="D73:F73"/>
    <mergeCell ref="H73:H74"/>
    <mergeCell ref="B96:C96"/>
    <mergeCell ref="B98:C98"/>
    <mergeCell ref="B126:B127"/>
    <mergeCell ref="C126:C127"/>
    <mergeCell ref="D126:F126"/>
    <mergeCell ref="H126:H127"/>
    <mergeCell ref="B149:C149"/>
  </mergeCells>
  <printOptions horizontalCentered="1" verticalCentered="1"/>
  <pageMargins left="0.7" right="0.25" top="0.75" bottom="0.75" header="0.3" footer="0.3"/>
  <pageSetup paperSize="9"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84"/>
  <sheetViews>
    <sheetView view="pageBreakPreview" topLeftCell="B34" zoomScaleSheetLayoutView="100" workbookViewId="0">
      <selection activeCell="B1" sqref="B1:G84"/>
    </sheetView>
  </sheetViews>
  <sheetFormatPr defaultColWidth="9.109375" defaultRowHeight="15.6" x14ac:dyDescent="0.3"/>
  <cols>
    <col min="1" max="1" width="9.109375" style="297"/>
    <col min="2" max="2" width="5.44140625" style="297" customWidth="1"/>
    <col min="3" max="3" width="53.109375" style="297" customWidth="1"/>
    <col min="4" max="4" width="10.88671875" style="297" customWidth="1"/>
    <col min="5" max="5" width="10" style="297" customWidth="1"/>
    <col min="6" max="6" width="21.33203125" style="297" customWidth="1"/>
    <col min="7" max="7" width="21.6640625" style="297" bestFit="1" customWidth="1"/>
    <col min="8" max="8" width="13.6640625" style="297" bestFit="1" customWidth="1"/>
    <col min="9" max="9" width="15.6640625" style="297" bestFit="1" customWidth="1"/>
    <col min="10" max="10" width="13.109375" style="297" bestFit="1" customWidth="1"/>
    <col min="11" max="11" width="9.109375" style="297"/>
    <col min="12" max="12" width="10.33203125" style="297" bestFit="1" customWidth="1"/>
    <col min="13" max="13" width="13.109375" style="297" bestFit="1" customWidth="1"/>
    <col min="14" max="16384" width="9.109375" style="297"/>
  </cols>
  <sheetData>
    <row r="1" spans="2:13" x14ac:dyDescent="0.3">
      <c r="B1" s="1920" t="s">
        <v>212</v>
      </c>
      <c r="C1" s="1921"/>
      <c r="D1" s="1921"/>
      <c r="E1" s="1921"/>
      <c r="F1" s="1921"/>
      <c r="G1" s="1922"/>
    </row>
    <row r="2" spans="2:13" x14ac:dyDescent="0.3">
      <c r="B2" s="1923" t="s">
        <v>340</v>
      </c>
      <c r="C2" s="1924"/>
      <c r="D2" s="1924"/>
      <c r="E2" s="1924"/>
      <c r="F2" s="1924"/>
      <c r="G2" s="1925"/>
    </row>
    <row r="3" spans="2:13" x14ac:dyDescent="0.3">
      <c r="B3" s="1969" t="s">
        <v>1330</v>
      </c>
      <c r="C3" s="1970"/>
      <c r="D3" s="1970"/>
      <c r="E3" s="1970"/>
      <c r="F3" s="1970"/>
      <c r="G3" s="1971"/>
    </row>
    <row r="4" spans="2:13" x14ac:dyDescent="0.3">
      <c r="B4" s="950"/>
      <c r="C4" s="317"/>
      <c r="D4" s="317"/>
      <c r="E4" s="318"/>
      <c r="F4" s="319"/>
      <c r="G4" s="951" t="s">
        <v>341</v>
      </c>
    </row>
    <row r="5" spans="2:13" ht="46.8" x14ac:dyDescent="0.3">
      <c r="B5" s="1972"/>
      <c r="C5" s="1938"/>
      <c r="D5" s="884"/>
      <c r="E5" s="282" t="s">
        <v>342</v>
      </c>
      <c r="F5" s="320" t="s">
        <v>1305</v>
      </c>
      <c r="G5" s="952" t="s">
        <v>697</v>
      </c>
    </row>
    <row r="6" spans="2:13" x14ac:dyDescent="0.3">
      <c r="B6" s="953"/>
      <c r="C6" s="321" t="s">
        <v>1938</v>
      </c>
      <c r="D6" s="535"/>
      <c r="E6" s="538"/>
      <c r="F6" s="322"/>
      <c r="G6" s="954"/>
    </row>
    <row r="7" spans="2:13" x14ac:dyDescent="0.3">
      <c r="B7" s="953" t="s">
        <v>519</v>
      </c>
      <c r="C7" s="288" t="s">
        <v>1945</v>
      </c>
      <c r="D7" s="284"/>
      <c r="E7" s="285">
        <v>14</v>
      </c>
      <c r="F7" s="289">
        <f>Sch!F388</f>
        <v>0</v>
      </c>
      <c r="G7" s="955">
        <f>Sch!G388</f>
        <v>0</v>
      </c>
    </row>
    <row r="8" spans="2:13" x14ac:dyDescent="0.3">
      <c r="B8" s="953" t="s">
        <v>1939</v>
      </c>
      <c r="C8" s="323" t="s">
        <v>1944</v>
      </c>
      <c r="D8" s="337"/>
      <c r="E8" s="285">
        <v>15</v>
      </c>
      <c r="F8" s="289">
        <f>Sch!F429</f>
        <v>0</v>
      </c>
      <c r="G8" s="955">
        <f>Sch!G429</f>
        <v>0</v>
      </c>
    </row>
    <row r="9" spans="2:13" ht="31.2" x14ac:dyDescent="0.3">
      <c r="B9" s="953" t="s">
        <v>1940</v>
      </c>
      <c r="C9" s="992" t="s">
        <v>1943</v>
      </c>
      <c r="D9" s="993"/>
      <c r="E9" s="994">
        <v>16</v>
      </c>
      <c r="F9" s="995">
        <f>Sch!F435</f>
        <v>0</v>
      </c>
      <c r="G9" s="996">
        <f>Sch!G435</f>
        <v>0</v>
      </c>
    </row>
    <row r="10" spans="2:13" x14ac:dyDescent="0.3">
      <c r="B10" s="953" t="s">
        <v>1941</v>
      </c>
      <c r="C10" s="921" t="s">
        <v>1942</v>
      </c>
      <c r="D10" s="337"/>
      <c r="E10" s="285">
        <v>17</v>
      </c>
      <c r="F10" s="289">
        <v>0</v>
      </c>
      <c r="G10" s="956">
        <v>0</v>
      </c>
    </row>
    <row r="11" spans="2:13" x14ac:dyDescent="0.3">
      <c r="B11" s="953" t="s">
        <v>1946</v>
      </c>
      <c r="C11" s="554" t="s">
        <v>371</v>
      </c>
      <c r="D11" s="290"/>
      <c r="E11" s="285"/>
      <c r="F11" s="325">
        <f>SUM(F7:F10)</f>
        <v>0</v>
      </c>
      <c r="G11" s="957">
        <f>SUM(G7:G10)</f>
        <v>0</v>
      </c>
    </row>
    <row r="12" spans="2:13" x14ac:dyDescent="0.3">
      <c r="B12" s="953"/>
      <c r="C12" s="288"/>
      <c r="D12" s="284"/>
      <c r="E12" s="285"/>
      <c r="F12" s="289"/>
      <c r="G12" s="955"/>
    </row>
    <row r="13" spans="2:13" x14ac:dyDescent="0.3">
      <c r="B13" s="953" t="s">
        <v>1947</v>
      </c>
      <c r="C13" s="283" t="s">
        <v>372</v>
      </c>
      <c r="D13" s="287"/>
      <c r="E13" s="285"/>
      <c r="F13" s="289"/>
      <c r="G13" s="955"/>
    </row>
    <row r="14" spans="2:13" x14ac:dyDescent="0.3">
      <c r="B14" s="982"/>
      <c r="C14" s="288" t="s">
        <v>1928</v>
      </c>
      <c r="D14" s="284"/>
      <c r="E14" s="285">
        <v>18.100000000000001</v>
      </c>
      <c r="F14" s="289">
        <f>Sch!F457</f>
        <v>0</v>
      </c>
      <c r="G14" s="955">
        <f>Sch!G457</f>
        <v>0</v>
      </c>
    </row>
    <row r="15" spans="2:13" x14ac:dyDescent="0.3">
      <c r="B15" s="982"/>
      <c r="C15" s="288" t="s">
        <v>1929</v>
      </c>
      <c r="D15" s="284"/>
      <c r="E15" s="285"/>
      <c r="F15" s="289"/>
      <c r="G15" s="955"/>
    </row>
    <row r="16" spans="2:13" ht="31.2" x14ac:dyDescent="0.3">
      <c r="B16" s="953"/>
      <c r="C16" s="998" t="s">
        <v>1930</v>
      </c>
      <c r="D16" s="999"/>
      <c r="E16" s="994">
        <v>18.2</v>
      </c>
      <c r="F16" s="1000">
        <f>Sch!F473</f>
        <v>0</v>
      </c>
      <c r="G16" s="1001">
        <f>Sch!G473</f>
        <v>0</v>
      </c>
      <c r="H16" s="301"/>
      <c r="M16" s="301"/>
    </row>
    <row r="17" spans="2:10" x14ac:dyDescent="0.3">
      <c r="B17" s="953"/>
      <c r="C17" s="288" t="s">
        <v>1931</v>
      </c>
      <c r="D17" s="284"/>
      <c r="E17" s="285">
        <v>18.3</v>
      </c>
      <c r="F17" s="289">
        <f>Sch!F493</f>
        <v>0</v>
      </c>
      <c r="G17" s="955">
        <f>Sch!G493</f>
        <v>0</v>
      </c>
      <c r="I17" s="330"/>
      <c r="J17" s="330"/>
    </row>
    <row r="18" spans="2:10" x14ac:dyDescent="0.3">
      <c r="B18" s="953"/>
      <c r="C18" s="288" t="s">
        <v>1932</v>
      </c>
      <c r="D18" s="284"/>
      <c r="E18" s="285">
        <v>18.399999999999999</v>
      </c>
      <c r="F18" s="289">
        <f>Sch!F508</f>
        <v>0</v>
      </c>
      <c r="G18" s="955">
        <f>Sch!G508</f>
        <v>0</v>
      </c>
    </row>
    <row r="19" spans="2:10" x14ac:dyDescent="0.3">
      <c r="B19" s="953"/>
      <c r="C19" s="288" t="s">
        <v>1933</v>
      </c>
      <c r="D19" s="284"/>
      <c r="E19" s="332">
        <v>18.5</v>
      </c>
      <c r="F19" s="289">
        <f>'sch 1-PPE'!H18</f>
        <v>12554622.374154998</v>
      </c>
      <c r="G19" s="955">
        <v>15026427</v>
      </c>
    </row>
    <row r="20" spans="2:10" x14ac:dyDescent="0.3">
      <c r="B20" s="953"/>
      <c r="C20" s="288" t="s">
        <v>1934</v>
      </c>
      <c r="D20" s="284"/>
      <c r="E20" s="295"/>
      <c r="F20" s="289">
        <v>0</v>
      </c>
      <c r="G20" s="955">
        <v>0</v>
      </c>
    </row>
    <row r="21" spans="2:10" ht="31.2" x14ac:dyDescent="0.3">
      <c r="B21" s="953"/>
      <c r="C21" s="949" t="s">
        <v>1935</v>
      </c>
      <c r="D21" s="284"/>
      <c r="E21" s="295"/>
      <c r="F21" s="289">
        <v>0</v>
      </c>
      <c r="G21" s="955">
        <v>0</v>
      </c>
    </row>
    <row r="22" spans="2:10" ht="31.2" x14ac:dyDescent="0.3">
      <c r="B22" s="953"/>
      <c r="C22" s="949" t="s">
        <v>1936</v>
      </c>
      <c r="D22" s="284"/>
      <c r="E22" s="295"/>
      <c r="F22" s="289">
        <v>0</v>
      </c>
      <c r="G22" s="955">
        <v>0</v>
      </c>
    </row>
    <row r="23" spans="2:10" x14ac:dyDescent="0.3">
      <c r="B23" s="953"/>
      <c r="C23" s="288" t="s">
        <v>373</v>
      </c>
      <c r="D23" s="284"/>
      <c r="E23" s="285">
        <v>18.600000000000001</v>
      </c>
      <c r="F23" s="326">
        <f>Sch!F544</f>
        <v>0</v>
      </c>
      <c r="G23" s="958">
        <f>Sch!G544</f>
        <v>0</v>
      </c>
    </row>
    <row r="24" spans="2:10" x14ac:dyDescent="0.3">
      <c r="B24" s="953"/>
      <c r="C24" s="292" t="s">
        <v>1948</v>
      </c>
      <c r="D24" s="290"/>
      <c r="E24" s="293"/>
      <c r="F24" s="327">
        <f>SUM(F14:F23)</f>
        <v>12554622.374154998</v>
      </c>
      <c r="G24" s="959">
        <f>SUM(G14:G23)</f>
        <v>15026427</v>
      </c>
    </row>
    <row r="25" spans="2:10" x14ac:dyDescent="0.3">
      <c r="B25" s="953"/>
      <c r="C25" s="292"/>
      <c r="D25" s="290"/>
      <c r="E25" s="293"/>
      <c r="F25" s="327"/>
      <c r="G25" s="959"/>
    </row>
    <row r="26" spans="2:10" ht="47.4" thickBot="1" x14ac:dyDescent="0.35">
      <c r="B26" s="986" t="s">
        <v>1949</v>
      </c>
      <c r="C26" s="981" t="s">
        <v>1937</v>
      </c>
      <c r="D26" s="290"/>
      <c r="E26" s="293"/>
      <c r="F26" s="990">
        <f>F11-F24</f>
        <v>-12554622.374154998</v>
      </c>
      <c r="G26" s="991">
        <f>G11-G24</f>
        <v>-15026427</v>
      </c>
    </row>
    <row r="27" spans="2:10" x14ac:dyDescent="0.3">
      <c r="B27" s="983" t="s">
        <v>1950</v>
      </c>
      <c r="C27" s="984" t="s">
        <v>1951</v>
      </c>
      <c r="D27" s="290"/>
      <c r="E27" s="293"/>
      <c r="F27" s="328"/>
      <c r="G27" s="959"/>
    </row>
    <row r="28" spans="2:10" x14ac:dyDescent="0.3">
      <c r="B28" s="983"/>
      <c r="C28" s="984" t="s">
        <v>1953</v>
      </c>
      <c r="D28" s="290"/>
      <c r="E28" s="293"/>
      <c r="F28" s="328"/>
      <c r="G28" s="959"/>
    </row>
    <row r="29" spans="2:10" ht="16.2" thickBot="1" x14ac:dyDescent="0.35">
      <c r="B29" s="963" t="s">
        <v>1952</v>
      </c>
      <c r="C29" s="283" t="s">
        <v>1954</v>
      </c>
      <c r="D29" s="287"/>
      <c r="E29" s="293"/>
      <c r="F29" s="989">
        <f>F26+F27+F28</f>
        <v>-12554622.374154998</v>
      </c>
      <c r="G29" s="989">
        <f>G26+G27+G28</f>
        <v>-15026427</v>
      </c>
    </row>
    <row r="30" spans="2:10" x14ac:dyDescent="0.3">
      <c r="B30" s="953" t="s">
        <v>1955</v>
      </c>
      <c r="C30" s="283" t="s">
        <v>1956</v>
      </c>
      <c r="D30" s="287"/>
      <c r="E30" s="293"/>
      <c r="F30" s="329"/>
      <c r="G30" s="985"/>
    </row>
    <row r="31" spans="2:10" ht="16.2" thickBot="1" x14ac:dyDescent="0.35">
      <c r="B31" s="953" t="s">
        <v>1957</v>
      </c>
      <c r="C31" s="283" t="s">
        <v>1958</v>
      </c>
      <c r="D31" s="287"/>
      <c r="E31" s="293"/>
      <c r="F31" s="989">
        <f>F29+F30</f>
        <v>-12554622.374154998</v>
      </c>
      <c r="G31" s="989">
        <f>G29+G30</f>
        <v>-15026427</v>
      </c>
    </row>
    <row r="32" spans="2:10" x14ac:dyDescent="0.3">
      <c r="B32" s="953" t="s">
        <v>1959</v>
      </c>
      <c r="C32" s="283" t="s">
        <v>374</v>
      </c>
      <c r="D32" s="287"/>
      <c r="E32" s="285"/>
      <c r="F32" s="289"/>
      <c r="G32" s="955"/>
    </row>
    <row r="33" spans="2:10" x14ac:dyDescent="0.3">
      <c r="B33" s="953"/>
      <c r="C33" s="288" t="s">
        <v>375</v>
      </c>
      <c r="D33" s="284"/>
      <c r="E33" s="285"/>
      <c r="F33" s="289">
        <v>0</v>
      </c>
      <c r="G33" s="955">
        <v>0</v>
      </c>
      <c r="I33" s="330"/>
    </row>
    <row r="34" spans="2:10" x14ac:dyDescent="0.3">
      <c r="B34" s="953"/>
      <c r="C34" s="288" t="s">
        <v>376</v>
      </c>
      <c r="D34" s="284"/>
      <c r="E34" s="332"/>
      <c r="F34" s="446">
        <f>'IT Dep'!H22</f>
        <v>0</v>
      </c>
      <c r="G34" s="961">
        <v>1526588</v>
      </c>
    </row>
    <row r="35" spans="2:10" x14ac:dyDescent="0.3">
      <c r="B35" s="953"/>
      <c r="C35" s="288"/>
      <c r="D35" s="284"/>
      <c r="E35" s="285"/>
      <c r="F35" s="326"/>
      <c r="G35" s="958"/>
    </row>
    <row r="36" spans="2:10" x14ac:dyDescent="0.3">
      <c r="B36" s="953" t="s">
        <v>1960</v>
      </c>
      <c r="C36" s="283" t="s">
        <v>1961</v>
      </c>
      <c r="D36" s="287"/>
      <c r="E36" s="285"/>
      <c r="F36" s="296">
        <f>F29-F33-F34</f>
        <v>-12554622.374154998</v>
      </c>
      <c r="G36" s="962">
        <f>G29-G33+G34</f>
        <v>-13499839</v>
      </c>
      <c r="I36" s="437">
        <f>G36+20280823</f>
        <v>6780984</v>
      </c>
      <c r="J36" s="997"/>
    </row>
    <row r="37" spans="2:10" x14ac:dyDescent="0.3">
      <c r="B37" s="953"/>
      <c r="C37" s="283" t="s">
        <v>1962</v>
      </c>
      <c r="D37" s="287"/>
      <c r="E37" s="285"/>
      <c r="F37" s="329"/>
      <c r="G37" s="960"/>
    </row>
    <row r="38" spans="2:10" x14ac:dyDescent="0.3">
      <c r="B38" s="953" t="s">
        <v>1963</v>
      </c>
      <c r="C38" s="288" t="s">
        <v>1964</v>
      </c>
      <c r="D38" s="287"/>
      <c r="E38" s="285"/>
      <c r="F38" s="329">
        <v>0</v>
      </c>
      <c r="G38" s="960">
        <v>0</v>
      </c>
    </row>
    <row r="39" spans="2:10" x14ac:dyDescent="0.3">
      <c r="B39" s="953" t="s">
        <v>1966</v>
      </c>
      <c r="C39" s="288" t="s">
        <v>1965</v>
      </c>
      <c r="D39" s="287"/>
      <c r="E39" s="285"/>
      <c r="F39" s="329">
        <v>0</v>
      </c>
      <c r="G39" s="960">
        <v>0</v>
      </c>
    </row>
    <row r="40" spans="2:10" x14ac:dyDescent="0.3">
      <c r="B40" s="953" t="s">
        <v>1968</v>
      </c>
      <c r="C40" s="283" t="s">
        <v>1967</v>
      </c>
      <c r="D40" s="287"/>
      <c r="E40" s="293"/>
      <c r="F40" s="291">
        <f>F38-F39</f>
        <v>0</v>
      </c>
      <c r="G40" s="291">
        <f>G38-G39</f>
        <v>0</v>
      </c>
    </row>
    <row r="41" spans="2:10" s="377" customFormat="1" x14ac:dyDescent="0.3">
      <c r="B41" s="963" t="s">
        <v>1970</v>
      </c>
      <c r="C41" s="283" t="s">
        <v>1969</v>
      </c>
      <c r="D41" s="287"/>
      <c r="E41" s="293"/>
      <c r="F41" s="327">
        <f>F36+F40</f>
        <v>-12554622.374154998</v>
      </c>
      <c r="G41" s="327">
        <f>G36+G40</f>
        <v>-13499839</v>
      </c>
      <c r="H41" s="1002">
        <f>F41-40542499</f>
        <v>-53097121.374155</v>
      </c>
    </row>
    <row r="42" spans="2:10" s="377" customFormat="1" x14ac:dyDescent="0.3">
      <c r="B42" s="963" t="s">
        <v>1971</v>
      </c>
      <c r="C42" s="283" t="s">
        <v>377</v>
      </c>
      <c r="D42" s="287"/>
      <c r="E42" s="293"/>
      <c r="F42" s="327"/>
      <c r="G42" s="988"/>
    </row>
    <row r="43" spans="2:10" ht="31.2" x14ac:dyDescent="0.3">
      <c r="B43" s="953"/>
      <c r="C43" s="574" t="s">
        <v>1465</v>
      </c>
      <c r="D43" s="287"/>
      <c r="E43" s="285"/>
      <c r="F43" s="289"/>
      <c r="G43" s="955"/>
    </row>
    <row r="44" spans="2:10" x14ac:dyDescent="0.3">
      <c r="B44" s="953"/>
      <c r="C44" s="892" t="s">
        <v>1445</v>
      </c>
      <c r="D44" s="287"/>
      <c r="E44" s="285"/>
      <c r="F44" s="289">
        <v>0</v>
      </c>
      <c r="G44" s="955">
        <v>0</v>
      </c>
    </row>
    <row r="45" spans="2:10" ht="31.2" x14ac:dyDescent="0.3">
      <c r="B45" s="953"/>
      <c r="C45" s="892" t="s">
        <v>1449</v>
      </c>
      <c r="D45" s="287"/>
      <c r="E45" s="285"/>
      <c r="F45" s="289">
        <v>0</v>
      </c>
      <c r="G45" s="955">
        <v>0</v>
      </c>
    </row>
    <row r="46" spans="2:10" ht="31.2" x14ac:dyDescent="0.3">
      <c r="B46" s="953"/>
      <c r="C46" s="892" t="s">
        <v>1450</v>
      </c>
      <c r="D46" s="287"/>
      <c r="E46" s="285"/>
      <c r="F46" s="289">
        <v>0</v>
      </c>
      <c r="G46" s="955">
        <v>0</v>
      </c>
    </row>
    <row r="47" spans="2:10" ht="31.2" x14ac:dyDescent="0.3">
      <c r="B47" s="953"/>
      <c r="C47" s="892" t="s">
        <v>1448</v>
      </c>
      <c r="D47" s="287"/>
      <c r="E47" s="285"/>
      <c r="F47" s="289">
        <v>0</v>
      </c>
      <c r="G47" s="955">
        <v>0</v>
      </c>
    </row>
    <row r="48" spans="2:10" x14ac:dyDescent="0.3">
      <c r="B48" s="953"/>
      <c r="C48" s="892" t="s">
        <v>1446</v>
      </c>
      <c r="D48" s="287"/>
      <c r="E48" s="285"/>
      <c r="F48" s="289">
        <v>0</v>
      </c>
      <c r="G48" s="955">
        <v>0</v>
      </c>
    </row>
    <row r="49" spans="2:7" ht="31.2" x14ac:dyDescent="0.3">
      <c r="B49" s="953"/>
      <c r="C49" s="892" t="s">
        <v>1451</v>
      </c>
      <c r="D49" s="287"/>
      <c r="E49" s="285"/>
      <c r="F49" s="289">
        <v>0</v>
      </c>
      <c r="G49" s="955">
        <v>0</v>
      </c>
    </row>
    <row r="50" spans="2:7" ht="31.2" x14ac:dyDescent="0.3">
      <c r="B50" s="953"/>
      <c r="C50" s="893" t="s">
        <v>1466</v>
      </c>
      <c r="D50" s="287"/>
      <c r="E50" s="285"/>
      <c r="F50" s="289">
        <v>0</v>
      </c>
      <c r="G50" s="955">
        <v>0</v>
      </c>
    </row>
    <row r="51" spans="2:7" ht="46.8" x14ac:dyDescent="0.3">
      <c r="B51" s="953"/>
      <c r="C51" s="892" t="s">
        <v>1452</v>
      </c>
      <c r="D51" s="287"/>
      <c r="E51" s="285"/>
      <c r="F51" s="289">
        <v>0</v>
      </c>
      <c r="G51" s="955">
        <v>0</v>
      </c>
    </row>
    <row r="52" spans="2:7" ht="31.2" x14ac:dyDescent="0.3">
      <c r="B52" s="953"/>
      <c r="C52" s="892" t="s">
        <v>1453</v>
      </c>
      <c r="D52" s="287"/>
      <c r="E52" s="285"/>
      <c r="F52" s="289">
        <v>0</v>
      </c>
      <c r="G52" s="955">
        <v>0</v>
      </c>
    </row>
    <row r="53" spans="2:7" ht="46.8" x14ac:dyDescent="0.3">
      <c r="B53" s="953"/>
      <c r="C53" s="892" t="s">
        <v>1454</v>
      </c>
      <c r="D53" s="287"/>
      <c r="E53" s="285"/>
      <c r="F53" s="289">
        <v>0</v>
      </c>
      <c r="G53" s="955">
        <v>0</v>
      </c>
    </row>
    <row r="54" spans="2:7" ht="31.2" x14ac:dyDescent="0.3">
      <c r="B54" s="953"/>
      <c r="C54" s="892" t="s">
        <v>1455</v>
      </c>
      <c r="D54" s="287"/>
      <c r="E54" s="285"/>
      <c r="F54" s="289">
        <v>0</v>
      </c>
      <c r="G54" s="955">
        <v>0</v>
      </c>
    </row>
    <row r="55" spans="2:7" x14ac:dyDescent="0.3">
      <c r="B55" s="953"/>
      <c r="C55" s="892" t="s">
        <v>1447</v>
      </c>
      <c r="D55" s="287"/>
      <c r="E55" s="285"/>
      <c r="F55" s="289">
        <v>0</v>
      </c>
      <c r="G55" s="955">
        <v>0</v>
      </c>
    </row>
    <row r="56" spans="2:7" ht="31.2" x14ac:dyDescent="0.3">
      <c r="B56" s="953"/>
      <c r="C56" s="568" t="s">
        <v>1456</v>
      </c>
      <c r="D56" s="287"/>
      <c r="E56" s="285"/>
      <c r="F56" s="289">
        <v>0</v>
      </c>
      <c r="G56" s="955">
        <v>0</v>
      </c>
    </row>
    <row r="57" spans="2:7" x14ac:dyDescent="0.3">
      <c r="B57" s="953"/>
      <c r="C57" s="555" t="s">
        <v>1464</v>
      </c>
      <c r="D57" s="536"/>
      <c r="E57" s="285"/>
      <c r="F57" s="328">
        <f>SUM(F44:F56)</f>
        <v>0</v>
      </c>
      <c r="G57" s="964">
        <f>SUM(G44:G56)</f>
        <v>0</v>
      </c>
    </row>
    <row r="58" spans="2:7" x14ac:dyDescent="0.3">
      <c r="B58" s="953" t="s">
        <v>599</v>
      </c>
      <c r="C58" s="283" t="s">
        <v>1443</v>
      </c>
      <c r="D58" s="287"/>
      <c r="E58" s="285"/>
      <c r="F58" s="296">
        <f>F36+F57</f>
        <v>-12554622.374154998</v>
      </c>
      <c r="G58" s="962">
        <f>G36+G57</f>
        <v>-13499839</v>
      </c>
    </row>
    <row r="59" spans="2:7" x14ac:dyDescent="0.3">
      <c r="B59" s="953"/>
      <c r="C59" s="283"/>
      <c r="D59" s="287"/>
      <c r="E59" s="285"/>
      <c r="F59" s="325"/>
      <c r="G59" s="965"/>
    </row>
    <row r="60" spans="2:7" x14ac:dyDescent="0.3">
      <c r="B60" s="953" t="s">
        <v>600</v>
      </c>
      <c r="C60" s="283" t="s">
        <v>1460</v>
      </c>
      <c r="D60" s="287"/>
      <c r="E60" s="285"/>
      <c r="F60" s="289"/>
      <c r="G60" s="956"/>
    </row>
    <row r="61" spans="2:7" x14ac:dyDescent="0.3">
      <c r="B61" s="953"/>
      <c r="C61" s="303" t="s">
        <v>1457</v>
      </c>
      <c r="D61" s="304"/>
      <c r="E61" s="332">
        <v>20.100000000000001</v>
      </c>
      <c r="F61" s="333">
        <f>F58/14860700</f>
        <v>-0.84482039030160072</v>
      </c>
      <c r="G61" s="966">
        <f>G58/14860700</f>
        <v>-0.90842551158424567</v>
      </c>
    </row>
    <row r="62" spans="2:7" x14ac:dyDescent="0.3">
      <c r="B62" s="953"/>
      <c r="C62" s="303" t="s">
        <v>1458</v>
      </c>
      <c r="D62" s="304"/>
      <c r="E62" s="332">
        <v>20.2</v>
      </c>
      <c r="F62" s="333">
        <f>F58/14860700</f>
        <v>-0.84482039030160072</v>
      </c>
      <c r="G62" s="966">
        <f>G58/14860700</f>
        <v>-0.90842551158424567</v>
      </c>
    </row>
    <row r="63" spans="2:7" x14ac:dyDescent="0.3">
      <c r="B63" s="953"/>
      <c r="C63" s="303"/>
      <c r="D63" s="304"/>
      <c r="E63" s="332"/>
      <c r="F63" s="333"/>
      <c r="G63" s="967"/>
    </row>
    <row r="64" spans="2:7" x14ac:dyDescent="0.3">
      <c r="B64" s="953" t="s">
        <v>1461</v>
      </c>
      <c r="C64" s="283" t="s">
        <v>1459</v>
      </c>
      <c r="D64" s="287"/>
      <c r="E64" s="285"/>
      <c r="F64" s="289"/>
      <c r="G64" s="956"/>
    </row>
    <row r="65" spans="2:7" x14ac:dyDescent="0.3">
      <c r="B65" s="953"/>
      <c r="C65" s="303" t="s">
        <v>1457</v>
      </c>
      <c r="D65" s="304"/>
      <c r="E65" s="332"/>
      <c r="F65" s="333">
        <f>F62/14860700</f>
        <v>-5.6849299851393322E-8</v>
      </c>
      <c r="G65" s="966">
        <f>G62/14860700</f>
        <v>-6.1129389031757964E-8</v>
      </c>
    </row>
    <row r="66" spans="2:7" x14ac:dyDescent="0.3">
      <c r="B66" s="953"/>
      <c r="C66" s="303" t="s">
        <v>1458</v>
      </c>
      <c r="D66" s="304"/>
      <c r="E66" s="332"/>
      <c r="F66" s="333">
        <f>F62/14860700</f>
        <v>-5.6849299851393322E-8</v>
      </c>
      <c r="G66" s="966">
        <f>G62/14860700</f>
        <v>-6.1129389031757964E-8</v>
      </c>
    </row>
    <row r="67" spans="2:7" x14ac:dyDescent="0.3">
      <c r="B67" s="953" t="s">
        <v>1462</v>
      </c>
      <c r="C67" s="292" t="s">
        <v>1463</v>
      </c>
      <c r="D67" s="287"/>
      <c r="E67" s="285"/>
      <c r="F67" s="289"/>
      <c r="G67" s="956"/>
    </row>
    <row r="68" spans="2:7" x14ac:dyDescent="0.3">
      <c r="B68" s="953"/>
      <c r="C68" s="303" t="s">
        <v>1457</v>
      </c>
      <c r="D68" s="304"/>
      <c r="E68" s="332">
        <v>20.100000000000001</v>
      </c>
      <c r="F68" s="333">
        <f>F61+F65</f>
        <v>-0.84482044715090054</v>
      </c>
      <c r="G68" s="966">
        <f>G61+G65</f>
        <v>-0.90842557271363467</v>
      </c>
    </row>
    <row r="69" spans="2:7" x14ac:dyDescent="0.3">
      <c r="B69" s="953"/>
      <c r="C69" s="303" t="s">
        <v>1458</v>
      </c>
      <c r="D69" s="304"/>
      <c r="E69" s="332">
        <v>20.100000000000001</v>
      </c>
      <c r="F69" s="333">
        <f>F62+F66</f>
        <v>-0.84482044715090054</v>
      </c>
      <c r="G69" s="966">
        <f>G62+G66</f>
        <v>-0.90842557271363467</v>
      </c>
    </row>
    <row r="70" spans="2:7" x14ac:dyDescent="0.3">
      <c r="B70" s="953"/>
      <c r="C70" s="894"/>
      <c r="D70" s="304"/>
      <c r="E70" s="298"/>
      <c r="F70" s="326"/>
      <c r="G70" s="956"/>
    </row>
    <row r="71" spans="2:7" x14ac:dyDescent="0.3">
      <c r="B71" s="987" t="s">
        <v>355</v>
      </c>
      <c r="C71" s="334"/>
      <c r="D71" s="334"/>
      <c r="E71" s="537" t="s">
        <v>356</v>
      </c>
      <c r="F71" s="335"/>
      <c r="G71" s="968"/>
    </row>
    <row r="72" spans="2:7" x14ac:dyDescent="0.3">
      <c r="B72" s="969" t="s">
        <v>357</v>
      </c>
      <c r="C72" s="304"/>
      <c r="D72" s="304"/>
      <c r="E72" s="304"/>
      <c r="F72" s="306"/>
      <c r="G72" s="970"/>
    </row>
    <row r="73" spans="2:7" x14ac:dyDescent="0.3">
      <c r="B73" s="969" t="s">
        <v>1437</v>
      </c>
      <c r="C73" s="304"/>
      <c r="D73" s="308" t="s">
        <v>359</v>
      </c>
      <c r="F73" s="849"/>
      <c r="G73" s="970"/>
    </row>
    <row r="74" spans="2:7" x14ac:dyDescent="0.3">
      <c r="B74" s="971" t="s">
        <v>251</v>
      </c>
      <c r="C74" s="304"/>
      <c r="D74" s="310" t="s">
        <v>212</v>
      </c>
      <c r="F74" s="849"/>
      <c r="G74" s="970"/>
    </row>
    <row r="75" spans="2:7" x14ac:dyDescent="0.3">
      <c r="B75" s="971" t="s">
        <v>1438</v>
      </c>
      <c r="C75" s="304"/>
      <c r="D75" s="304"/>
      <c r="F75" s="306"/>
      <c r="G75" s="970"/>
    </row>
    <row r="76" spans="2:7" x14ac:dyDescent="0.3">
      <c r="B76" s="971"/>
      <c r="C76" s="304"/>
      <c r="D76" s="304"/>
      <c r="F76" s="306"/>
      <c r="G76" s="970"/>
    </row>
    <row r="77" spans="2:7" x14ac:dyDescent="0.3">
      <c r="B77" s="971"/>
      <c r="C77" s="304"/>
      <c r="D77" s="313" t="s">
        <v>590</v>
      </c>
      <c r="F77" s="306"/>
      <c r="G77" s="970"/>
    </row>
    <row r="78" spans="2:7" x14ac:dyDescent="0.3">
      <c r="B78" s="971"/>
      <c r="C78" s="304"/>
      <c r="D78" s="313" t="s">
        <v>592</v>
      </c>
      <c r="F78" s="306"/>
      <c r="G78" s="970"/>
    </row>
    <row r="79" spans="2:7" x14ac:dyDescent="0.3">
      <c r="B79" s="969" t="s">
        <v>1439</v>
      </c>
      <c r="C79" s="304"/>
      <c r="D79" s="313" t="s">
        <v>591</v>
      </c>
      <c r="G79" s="972"/>
    </row>
    <row r="80" spans="2:7" x14ac:dyDescent="0.3">
      <c r="B80" s="971" t="s">
        <v>364</v>
      </c>
      <c r="C80" s="304"/>
      <c r="G80" s="972"/>
    </row>
    <row r="81" spans="2:7" x14ac:dyDescent="0.3">
      <c r="B81" s="971" t="s">
        <v>1440</v>
      </c>
      <c r="C81" s="304"/>
      <c r="G81" s="972"/>
    </row>
    <row r="82" spans="2:7" x14ac:dyDescent="0.3">
      <c r="B82" s="971"/>
      <c r="C82" s="304"/>
      <c r="D82" s="313" t="s">
        <v>362</v>
      </c>
      <c r="E82" s="304"/>
      <c r="F82" s="314"/>
      <c r="G82" s="973" t="s">
        <v>363</v>
      </c>
    </row>
    <row r="83" spans="2:7" x14ac:dyDescent="0.3">
      <c r="B83" s="974" t="s">
        <v>370</v>
      </c>
      <c r="C83" s="305"/>
      <c r="D83" s="313" t="s">
        <v>365</v>
      </c>
      <c r="E83" s="305"/>
      <c r="F83" s="849"/>
      <c r="G83" s="973" t="s">
        <v>366</v>
      </c>
    </row>
    <row r="84" spans="2:7" ht="16.2" thickBot="1" x14ac:dyDescent="0.35">
      <c r="B84" s="975" t="s">
        <v>1441</v>
      </c>
      <c r="C84" s="976"/>
      <c r="D84" s="977" t="s">
        <v>368</v>
      </c>
      <c r="E84" s="978"/>
      <c r="F84" s="979"/>
      <c r="G84" s="980" t="s">
        <v>369</v>
      </c>
    </row>
  </sheetData>
  <mergeCells count="4">
    <mergeCell ref="B1:G1"/>
    <mergeCell ref="B2:G2"/>
    <mergeCell ref="B3:G3"/>
    <mergeCell ref="B5:C5"/>
  </mergeCells>
  <pageMargins left="0.7" right="0.7" top="0.75" bottom="0.75" header="0.3" footer="0.3"/>
  <pageSetup scale="73"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146"/>
  <sheetViews>
    <sheetView view="pageBreakPreview" topLeftCell="A107" zoomScaleSheetLayoutView="100" workbookViewId="0">
      <selection activeCell="B4" sqref="B4:F113"/>
    </sheetView>
  </sheetViews>
  <sheetFormatPr defaultColWidth="8.88671875" defaultRowHeight="15.6" x14ac:dyDescent="0.3"/>
  <cols>
    <col min="1" max="1" width="6.33203125" style="297" customWidth="1"/>
    <col min="2" max="2" width="67.109375" style="297" customWidth="1"/>
    <col min="3" max="4" width="8.88671875" style="297" customWidth="1"/>
    <col min="5" max="5" width="22.6640625" style="302" customWidth="1"/>
    <col min="6" max="6" width="22.5546875" style="297" customWidth="1"/>
    <col min="7" max="7" width="9.109375" style="297" hidden="1" customWidth="1"/>
    <col min="8" max="8" width="57.88671875" style="297" bestFit="1" customWidth="1"/>
    <col min="9" max="10" width="16.44140625" style="297" bestFit="1" customWidth="1"/>
    <col min="11" max="11" width="17.44140625" style="297" bestFit="1" customWidth="1"/>
    <col min="12" max="12" width="16.44140625" style="297" bestFit="1" customWidth="1"/>
    <col min="13" max="13" width="14" style="297" bestFit="1" customWidth="1"/>
    <col min="14" max="16384" width="8.88671875" style="297"/>
  </cols>
  <sheetData>
    <row r="4" spans="1:11" x14ac:dyDescent="0.3">
      <c r="B4" s="337"/>
      <c r="C4" s="337"/>
      <c r="D4" s="337"/>
      <c r="E4" s="805"/>
      <c r="F4" s="337"/>
    </row>
    <row r="5" spans="1:11" x14ac:dyDescent="0.3">
      <c r="B5" s="1973" t="s">
        <v>212</v>
      </c>
      <c r="C5" s="1973"/>
      <c r="D5" s="1973"/>
      <c r="E5" s="1973"/>
      <c r="F5" s="1973"/>
    </row>
    <row r="6" spans="1:11" x14ac:dyDescent="0.3">
      <c r="B6" s="1974" t="s">
        <v>1442</v>
      </c>
      <c r="C6" s="1974"/>
      <c r="D6" s="1974"/>
      <c r="E6" s="1974"/>
      <c r="F6" s="1974"/>
    </row>
    <row r="7" spans="1:11" x14ac:dyDescent="0.3">
      <c r="B7" s="337"/>
      <c r="C7" s="337"/>
      <c r="D7" s="337"/>
      <c r="E7" s="805"/>
      <c r="F7" s="337"/>
    </row>
    <row r="8" spans="1:11" x14ac:dyDescent="0.3">
      <c r="B8" s="539" t="s">
        <v>215</v>
      </c>
      <c r="C8" s="338"/>
      <c r="D8" s="338"/>
      <c r="E8" s="806" t="s">
        <v>1291</v>
      </c>
      <c r="F8" s="339" t="s">
        <v>586</v>
      </c>
    </row>
    <row r="9" spans="1:11" x14ac:dyDescent="0.3">
      <c r="B9" s="540"/>
      <c r="C9" s="340"/>
      <c r="D9" s="340"/>
      <c r="E9" s="807" t="s">
        <v>274</v>
      </c>
      <c r="F9" s="341" t="s">
        <v>274</v>
      </c>
    </row>
    <row r="10" spans="1:11" x14ac:dyDescent="0.3">
      <c r="B10" s="540" t="s">
        <v>276</v>
      </c>
      <c r="C10" s="340"/>
      <c r="D10" s="340"/>
      <c r="E10" s="808"/>
      <c r="F10" s="342"/>
    </row>
    <row r="11" spans="1:11" x14ac:dyDescent="0.3">
      <c r="B11" s="541" t="s">
        <v>277</v>
      </c>
      <c r="C11" s="343"/>
      <c r="D11" s="343"/>
      <c r="E11" s="809">
        <f>'P&amp;L'!F26</f>
        <v>-12554622.374154998</v>
      </c>
      <c r="F11" s="809">
        <f>'P&amp;L'!G26</f>
        <v>-15026427</v>
      </c>
      <c r="K11" s="297">
        <f>+'P&amp;L'!F29</f>
        <v>-12554622.374154998</v>
      </c>
    </row>
    <row r="12" spans="1:11" s="377" customFormat="1" x14ac:dyDescent="0.3">
      <c r="B12" s="540" t="s">
        <v>1486</v>
      </c>
      <c r="C12" s="569"/>
      <c r="D12" s="569"/>
      <c r="E12" s="808"/>
      <c r="F12" s="570"/>
    </row>
    <row r="13" spans="1:11" x14ac:dyDescent="0.3">
      <c r="A13" s="563"/>
      <c r="B13" s="564" t="s">
        <v>1467</v>
      </c>
      <c r="C13" s="565"/>
      <c r="D13" s="566"/>
      <c r="E13" s="810"/>
      <c r="F13" s="567"/>
    </row>
    <row r="14" spans="1:11" x14ac:dyDescent="0.3">
      <c r="A14" s="563"/>
      <c r="B14" s="564" t="s">
        <v>1468</v>
      </c>
      <c r="C14" s="565"/>
      <c r="D14" s="566"/>
      <c r="E14" s="809">
        <f>'P&amp;L'!F18</f>
        <v>0</v>
      </c>
      <c r="F14" s="344">
        <v>20996439</v>
      </c>
    </row>
    <row r="15" spans="1:11" x14ac:dyDescent="0.3">
      <c r="A15" s="563"/>
      <c r="B15" s="564" t="s">
        <v>1469</v>
      </c>
      <c r="C15" s="565"/>
      <c r="D15" s="566"/>
      <c r="E15" s="809">
        <f>-'P&amp;L'!F8</f>
        <v>0</v>
      </c>
      <c r="F15" s="344">
        <v>-403647</v>
      </c>
    </row>
    <row r="16" spans="1:11" x14ac:dyDescent="0.3">
      <c r="A16" s="563"/>
      <c r="B16" s="564" t="s">
        <v>1470</v>
      </c>
      <c r="C16" s="565"/>
      <c r="D16" s="566"/>
      <c r="E16" s="809">
        <v>-29154304</v>
      </c>
      <c r="F16" s="346">
        <v>4276702</v>
      </c>
    </row>
    <row r="17" spans="1:6" x14ac:dyDescent="0.3">
      <c r="A17" s="563"/>
      <c r="B17" s="564" t="s">
        <v>1471</v>
      </c>
      <c r="C17" s="565"/>
      <c r="D17" s="566"/>
      <c r="E17" s="810">
        <v>0</v>
      </c>
      <c r="F17" s="572">
        <v>0</v>
      </c>
    </row>
    <row r="18" spans="1:6" x14ac:dyDescent="0.3">
      <c r="A18" s="563"/>
      <c r="B18" s="564" t="s">
        <v>1472</v>
      </c>
      <c r="C18" s="565"/>
      <c r="D18" s="566"/>
      <c r="E18" s="810">
        <v>0</v>
      </c>
      <c r="F18" s="572">
        <v>0</v>
      </c>
    </row>
    <row r="19" spans="1:6" ht="31.2" x14ac:dyDescent="0.3">
      <c r="A19" s="563"/>
      <c r="B19" s="568" t="s">
        <v>1473</v>
      </c>
      <c r="C19" s="565"/>
      <c r="D19" s="566"/>
      <c r="E19" s="810">
        <v>0</v>
      </c>
      <c r="F19" s="572">
        <v>0</v>
      </c>
    </row>
    <row r="20" spans="1:6" ht="31.2" x14ac:dyDescent="0.3">
      <c r="A20" s="563"/>
      <c r="B20" s="568" t="s">
        <v>1474</v>
      </c>
      <c r="C20" s="565"/>
      <c r="D20" s="566"/>
      <c r="E20" s="810">
        <v>0</v>
      </c>
      <c r="F20" s="572">
        <v>0</v>
      </c>
    </row>
    <row r="21" spans="1:6" x14ac:dyDescent="0.3">
      <c r="A21" s="563"/>
      <c r="B21" s="564" t="s">
        <v>1475</v>
      </c>
      <c r="C21" s="565"/>
      <c r="D21" s="566"/>
      <c r="E21" s="810">
        <v>0</v>
      </c>
      <c r="F21" s="572">
        <v>0</v>
      </c>
    </row>
    <row r="22" spans="1:6" x14ac:dyDescent="0.3">
      <c r="A22" s="563"/>
      <c r="B22" s="564" t="s">
        <v>1476</v>
      </c>
      <c r="C22" s="565"/>
      <c r="D22" s="566"/>
      <c r="E22" s="810">
        <v>0</v>
      </c>
      <c r="F22" s="572">
        <v>0</v>
      </c>
    </row>
    <row r="23" spans="1:6" x14ac:dyDescent="0.3">
      <c r="A23" s="563"/>
      <c r="B23" s="564" t="s">
        <v>1477</v>
      </c>
      <c r="C23" s="565"/>
      <c r="D23" s="566"/>
      <c r="E23" s="810">
        <v>0</v>
      </c>
      <c r="F23" s="572">
        <v>0</v>
      </c>
    </row>
    <row r="24" spans="1:6" x14ac:dyDescent="0.3">
      <c r="A24" s="563"/>
      <c r="B24" s="564" t="s">
        <v>1478</v>
      </c>
      <c r="C24" s="565"/>
      <c r="D24" s="566"/>
      <c r="E24" s="810">
        <v>0</v>
      </c>
      <c r="F24" s="572">
        <v>0</v>
      </c>
    </row>
    <row r="25" spans="1:6" x14ac:dyDescent="0.3">
      <c r="A25" s="563"/>
      <c r="B25" s="564" t="s">
        <v>1479</v>
      </c>
      <c r="C25" s="565"/>
      <c r="D25" s="566"/>
      <c r="E25" s="810">
        <v>0</v>
      </c>
      <c r="F25" s="572">
        <v>0</v>
      </c>
    </row>
    <row r="26" spans="1:6" x14ac:dyDescent="0.3">
      <c r="A26" s="563"/>
      <c r="B26" s="564" t="s">
        <v>1480</v>
      </c>
      <c r="C26" s="565"/>
      <c r="D26" s="566"/>
      <c r="E26" s="809">
        <f>'P&amp;L'!F19</f>
        <v>12554622.374154998</v>
      </c>
      <c r="F26" s="344">
        <v>15026427.424039956</v>
      </c>
    </row>
    <row r="27" spans="1:6" x14ac:dyDescent="0.3">
      <c r="A27" s="563"/>
      <c r="B27" s="564" t="s">
        <v>1481</v>
      </c>
      <c r="C27" s="565"/>
      <c r="D27" s="566"/>
      <c r="E27" s="810">
        <v>0</v>
      </c>
      <c r="F27" s="572">
        <v>0</v>
      </c>
    </row>
    <row r="28" spans="1:6" x14ac:dyDescent="0.3">
      <c r="A28" s="563"/>
      <c r="B28" s="564" t="s">
        <v>1482</v>
      </c>
      <c r="C28" s="565"/>
      <c r="D28" s="566"/>
      <c r="E28" s="810">
        <v>0</v>
      </c>
      <c r="F28" s="572">
        <v>0</v>
      </c>
    </row>
    <row r="29" spans="1:6" ht="31.2" x14ac:dyDescent="0.3">
      <c r="A29" s="563"/>
      <c r="B29" s="568" t="s">
        <v>1483</v>
      </c>
      <c r="C29" s="565"/>
      <c r="D29" s="566"/>
      <c r="E29" s="810">
        <v>0</v>
      </c>
      <c r="F29" s="572">
        <v>0</v>
      </c>
    </row>
    <row r="30" spans="1:6" ht="31.2" x14ac:dyDescent="0.3">
      <c r="A30" s="563"/>
      <c r="B30" s="568" t="s">
        <v>1484</v>
      </c>
      <c r="C30" s="565"/>
      <c r="D30" s="566"/>
      <c r="E30" s="810">
        <v>0</v>
      </c>
      <c r="F30" s="572">
        <v>0</v>
      </c>
    </row>
    <row r="31" spans="1:6" x14ac:dyDescent="0.3">
      <c r="A31" s="563"/>
      <c r="B31" s="564" t="s">
        <v>1485</v>
      </c>
      <c r="C31" s="565"/>
      <c r="D31" s="566"/>
      <c r="E31" s="810">
        <v>0</v>
      </c>
      <c r="F31" s="572">
        <v>0</v>
      </c>
    </row>
    <row r="32" spans="1:6" ht="16.2" thickBot="1" x14ac:dyDescent="0.35">
      <c r="B32" s="542" t="s">
        <v>282</v>
      </c>
      <c r="C32" s="348"/>
      <c r="D32" s="348"/>
      <c r="E32" s="811">
        <f>SUM(E11:E31)</f>
        <v>-29154304</v>
      </c>
      <c r="F32" s="351">
        <f>SUM(F11:F31)</f>
        <v>24869494.424039956</v>
      </c>
    </row>
    <row r="33" spans="1:6" ht="16.2" thickTop="1" x14ac:dyDescent="0.3">
      <c r="B33" s="573" t="s">
        <v>1498</v>
      </c>
      <c r="C33" s="345"/>
      <c r="D33" s="345"/>
      <c r="E33" s="809"/>
      <c r="F33" s="346"/>
    </row>
    <row r="34" spans="1:6" x14ac:dyDescent="0.3">
      <c r="A34" s="563"/>
      <c r="B34" s="568" t="s">
        <v>1487</v>
      </c>
      <c r="C34" s="553"/>
      <c r="D34" s="566"/>
      <c r="E34" s="809">
        <f>'BS PL CFL'!H30-'BS PL CFL'!G30</f>
        <v>0</v>
      </c>
      <c r="F34" s="344">
        <v>-3385933</v>
      </c>
    </row>
    <row r="35" spans="1:6" ht="31.2" x14ac:dyDescent="0.3">
      <c r="A35" s="563"/>
      <c r="B35" s="568" t="s">
        <v>1488</v>
      </c>
      <c r="C35" s="553"/>
      <c r="D35" s="566"/>
      <c r="E35" s="810">
        <v>0</v>
      </c>
      <c r="F35" s="572">
        <v>0</v>
      </c>
    </row>
    <row r="36" spans="1:6" x14ac:dyDescent="0.3">
      <c r="A36" s="563"/>
      <c r="B36" s="568" t="s">
        <v>1489</v>
      </c>
      <c r="C36" s="553"/>
      <c r="D36" s="566"/>
      <c r="E36" s="809">
        <f>'BS PL CFL'!G27-'BS PL CFL'!H27</f>
        <v>0</v>
      </c>
      <c r="F36" s="344">
        <v>-18729929</v>
      </c>
    </row>
    <row r="37" spans="1:6" x14ac:dyDescent="0.3">
      <c r="A37" s="563"/>
      <c r="B37" s="568" t="s">
        <v>1490</v>
      </c>
      <c r="C37" s="553"/>
      <c r="D37" s="566"/>
      <c r="E37" s="809" t="e">
        <f>'BS PL CFL'!#REF!-'BS PL CFL'!#REF!</f>
        <v>#REF!</v>
      </c>
      <c r="F37" s="344">
        <v>256054</v>
      </c>
    </row>
    <row r="38" spans="1:6" x14ac:dyDescent="0.3">
      <c r="A38" s="563"/>
      <c r="B38" s="568" t="s">
        <v>1491</v>
      </c>
      <c r="C38" s="553"/>
      <c r="D38" s="566"/>
      <c r="E38" s="809">
        <f>('BS PL CFL'!G59+'BS PL CFL'!G60)-('BS PL CFL'!H59+'BS PL CFL'!H60)</f>
        <v>0</v>
      </c>
      <c r="F38" s="344">
        <v>-68504672</v>
      </c>
    </row>
    <row r="39" spans="1:6" ht="31.2" x14ac:dyDescent="0.3">
      <c r="A39" s="563"/>
      <c r="B39" s="568" t="s">
        <v>1492</v>
      </c>
      <c r="C39" s="553"/>
      <c r="D39" s="553"/>
      <c r="E39" s="812">
        <v>0</v>
      </c>
      <c r="F39" s="571">
        <v>0</v>
      </c>
    </row>
    <row r="40" spans="1:6" x14ac:dyDescent="0.3">
      <c r="A40" s="563"/>
      <c r="B40" s="568" t="s">
        <v>1493</v>
      </c>
      <c r="C40" s="553"/>
      <c r="D40" s="553"/>
      <c r="E40" s="812">
        <v>0</v>
      </c>
      <c r="F40" s="571">
        <v>0</v>
      </c>
    </row>
    <row r="41" spans="1:6" x14ac:dyDescent="0.3">
      <c r="A41" s="563"/>
      <c r="B41" s="568" t="s">
        <v>1494</v>
      </c>
      <c r="C41" s="553"/>
      <c r="D41" s="553"/>
      <c r="E41" s="812">
        <v>0</v>
      </c>
      <c r="F41" s="571">
        <v>0</v>
      </c>
    </row>
    <row r="42" spans="1:6" x14ac:dyDescent="0.3">
      <c r="A42" s="563"/>
      <c r="B42" s="568" t="s">
        <v>1495</v>
      </c>
      <c r="C42" s="553"/>
      <c r="D42" s="553"/>
      <c r="E42" s="809">
        <f>('BS PL CFL'!G58+'BS PL CFL'!G62)-('BS PL CFL'!H58+'BS PL CFL'!H62)</f>
        <v>0</v>
      </c>
      <c r="F42" s="344">
        <v>187835773</v>
      </c>
    </row>
    <row r="43" spans="1:6" s="377" customFormat="1" x14ac:dyDescent="0.3">
      <c r="B43" s="574" t="s">
        <v>1496</v>
      </c>
      <c r="C43" s="348"/>
      <c r="D43" s="348"/>
      <c r="E43" s="813" t="e">
        <f>SUM(E32:E42)</f>
        <v>#REF!</v>
      </c>
      <c r="F43" s="349">
        <f>SUM(F32:F42)</f>
        <v>122340787.42403996</v>
      </c>
    </row>
    <row r="44" spans="1:6" x14ac:dyDescent="0.3">
      <c r="B44" s="568" t="s">
        <v>1497</v>
      </c>
      <c r="C44" s="347"/>
      <c r="D44" s="347"/>
      <c r="E44" s="809">
        <f>-'P&amp;L'!G33</f>
        <v>0</v>
      </c>
      <c r="F44" s="346">
        <v>-736342</v>
      </c>
    </row>
    <row r="45" spans="1:6" x14ac:dyDescent="0.3">
      <c r="B45" s="542" t="s">
        <v>291</v>
      </c>
      <c r="C45" s="348"/>
      <c r="D45" s="348"/>
      <c r="E45" s="814" t="e">
        <f>SUM(E43:E44)</f>
        <v>#REF!</v>
      </c>
      <c r="F45" s="350">
        <f>SUM(F43:F44)</f>
        <v>121604445.42403996</v>
      </c>
    </row>
    <row r="46" spans="1:6" s="377" customFormat="1" x14ac:dyDescent="0.3">
      <c r="B46" s="577" t="s">
        <v>292</v>
      </c>
      <c r="C46" s="575"/>
      <c r="D46" s="575"/>
      <c r="E46" s="808">
        <v>0</v>
      </c>
      <c r="F46" s="570">
        <v>0</v>
      </c>
    </row>
    <row r="47" spans="1:6" x14ac:dyDescent="0.3">
      <c r="B47" s="602" t="s">
        <v>293</v>
      </c>
      <c r="C47" s="603"/>
      <c r="D47" s="603"/>
      <c r="E47" s="815" t="e">
        <f>SUM(E45:E46)</f>
        <v>#REF!</v>
      </c>
      <c r="F47" s="578">
        <f>SUM(F45:F46)</f>
        <v>121604445.42403996</v>
      </c>
    </row>
    <row r="48" spans="1:6" x14ac:dyDescent="0.3">
      <c r="B48" s="340"/>
      <c r="C48" s="340"/>
      <c r="D48" s="340"/>
      <c r="E48" s="816"/>
      <c r="F48" s="601"/>
    </row>
    <row r="49" spans="1:6" x14ac:dyDescent="0.3">
      <c r="B49" s="340"/>
      <c r="C49" s="340"/>
      <c r="D49" s="340"/>
      <c r="E49" s="816"/>
      <c r="F49" s="601"/>
    </row>
    <row r="50" spans="1:6" x14ac:dyDescent="0.3">
      <c r="B50" s="340" t="s">
        <v>1499</v>
      </c>
      <c r="C50" s="352"/>
      <c r="D50" s="352"/>
      <c r="E50" s="817"/>
      <c r="F50" s="306"/>
    </row>
    <row r="51" spans="1:6" x14ac:dyDescent="0.3">
      <c r="B51" s="539" t="s">
        <v>215</v>
      </c>
      <c r="C51" s="338"/>
      <c r="D51" s="338"/>
      <c r="E51" s="806" t="s">
        <v>1291</v>
      </c>
      <c r="F51" s="339" t="s">
        <v>586</v>
      </c>
    </row>
    <row r="52" spans="1:6" x14ac:dyDescent="0.3">
      <c r="B52" s="540" t="s">
        <v>1499</v>
      </c>
      <c r="C52" s="340"/>
      <c r="D52" s="340"/>
      <c r="E52" s="809"/>
      <c r="F52" s="346"/>
    </row>
    <row r="53" spans="1:6" x14ac:dyDescent="0.3">
      <c r="A53" s="563"/>
      <c r="B53" s="568" t="s">
        <v>1500</v>
      </c>
      <c r="C53" s="553"/>
      <c r="D53" s="566"/>
      <c r="E53" s="809">
        <f>'BS PL CFL'!G23-'BS PL CFL'!H23</f>
        <v>0</v>
      </c>
      <c r="F53" s="344">
        <v>-8375898</v>
      </c>
    </row>
    <row r="54" spans="1:6" x14ac:dyDescent="0.3">
      <c r="A54" s="563"/>
      <c r="B54" s="568" t="s">
        <v>1501</v>
      </c>
      <c r="C54" s="553"/>
      <c r="D54" s="566"/>
      <c r="E54" s="810">
        <v>0</v>
      </c>
      <c r="F54" s="572">
        <v>0</v>
      </c>
    </row>
    <row r="55" spans="1:6" x14ac:dyDescent="0.3">
      <c r="A55" s="563"/>
      <c r="B55" s="568" t="s">
        <v>1502</v>
      </c>
      <c r="C55" s="553"/>
      <c r="D55" s="566"/>
      <c r="E55" s="809">
        <f>-E15</f>
        <v>0</v>
      </c>
      <c r="F55" s="344">
        <v>403647</v>
      </c>
    </row>
    <row r="56" spans="1:6" x14ac:dyDescent="0.3">
      <c r="A56" s="563"/>
      <c r="B56" s="568" t="s">
        <v>1503</v>
      </c>
      <c r="C56" s="553"/>
      <c r="D56" s="566"/>
      <c r="E56" s="810">
        <v>0</v>
      </c>
      <c r="F56" s="572">
        <v>0</v>
      </c>
    </row>
    <row r="57" spans="1:6" x14ac:dyDescent="0.3">
      <c r="A57" s="563"/>
      <c r="B57" s="568" t="s">
        <v>1504</v>
      </c>
      <c r="C57" s="553"/>
      <c r="D57" s="566"/>
      <c r="E57" s="810">
        <v>0</v>
      </c>
      <c r="F57" s="572">
        <v>0</v>
      </c>
    </row>
    <row r="58" spans="1:6" x14ac:dyDescent="0.3">
      <c r="A58" s="563"/>
      <c r="B58" s="568" t="s">
        <v>1505</v>
      </c>
      <c r="C58" s="553"/>
      <c r="D58" s="566"/>
      <c r="E58" s="810">
        <v>0</v>
      </c>
      <c r="F58" s="572">
        <v>0</v>
      </c>
    </row>
    <row r="59" spans="1:6" x14ac:dyDescent="0.3">
      <c r="A59" s="563"/>
      <c r="B59" s="568" t="s">
        <v>1506</v>
      </c>
      <c r="C59" s="553"/>
      <c r="D59" s="566"/>
      <c r="E59" s="810">
        <v>0</v>
      </c>
      <c r="F59" s="572">
        <v>0</v>
      </c>
    </row>
    <row r="60" spans="1:6" x14ac:dyDescent="0.3">
      <c r="A60" s="563"/>
      <c r="B60" s="568" t="s">
        <v>1507</v>
      </c>
      <c r="C60" s="553"/>
      <c r="D60" s="566"/>
      <c r="E60" s="810">
        <v>0</v>
      </c>
      <c r="F60" s="572">
        <v>0</v>
      </c>
    </row>
    <row r="61" spans="1:6" x14ac:dyDescent="0.3">
      <c r="A61" s="563"/>
      <c r="B61" s="568" t="s">
        <v>1508</v>
      </c>
      <c r="C61" s="553"/>
      <c r="D61" s="566"/>
      <c r="E61" s="810">
        <v>0</v>
      </c>
      <c r="F61" s="579">
        <v>-2267007.5690354072</v>
      </c>
    </row>
    <row r="62" spans="1:6" x14ac:dyDescent="0.3">
      <c r="A62" s="563"/>
      <c r="B62" s="568" t="s">
        <v>1509</v>
      </c>
      <c r="C62" s="553"/>
      <c r="D62" s="566"/>
      <c r="E62" s="809">
        <f>'BS PL CFL'!H10-'BS PL CFL'!G10-E26</f>
        <v>-12554622.374154998</v>
      </c>
      <c r="F62" s="579">
        <v>0</v>
      </c>
    </row>
    <row r="63" spans="1:6" x14ac:dyDescent="0.3">
      <c r="A63" s="563"/>
      <c r="B63" s="568" t="s">
        <v>1510</v>
      </c>
      <c r="C63" s="553"/>
      <c r="D63" s="566"/>
      <c r="E63" s="810">
        <v>0</v>
      </c>
      <c r="F63" s="572">
        <v>0</v>
      </c>
    </row>
    <row r="64" spans="1:6" x14ac:dyDescent="0.3">
      <c r="A64" s="563"/>
      <c r="B64" s="568" t="s">
        <v>1511</v>
      </c>
      <c r="C64" s="553"/>
      <c r="D64" s="566"/>
      <c r="E64" s="810">
        <v>0</v>
      </c>
      <c r="F64" s="572">
        <v>0</v>
      </c>
    </row>
    <row r="65" spans="1:6" x14ac:dyDescent="0.3">
      <c r="A65" s="563"/>
      <c r="B65" s="568" t="s">
        <v>1512</v>
      </c>
      <c r="C65" s="553"/>
      <c r="D65" s="566"/>
      <c r="E65" s="810">
        <v>0</v>
      </c>
      <c r="F65" s="572">
        <v>0</v>
      </c>
    </row>
    <row r="66" spans="1:6" x14ac:dyDescent="0.3">
      <c r="A66" s="563"/>
      <c r="B66" s="568" t="s">
        <v>1513</v>
      </c>
      <c r="C66" s="553"/>
      <c r="D66" s="566"/>
      <c r="E66" s="810">
        <v>0</v>
      </c>
      <c r="F66" s="572">
        <v>0</v>
      </c>
    </row>
    <row r="67" spans="1:6" x14ac:dyDescent="0.3">
      <c r="A67" s="563"/>
      <c r="B67" s="568" t="s">
        <v>1514</v>
      </c>
      <c r="C67" s="553"/>
      <c r="D67" s="566"/>
      <c r="E67" s="810">
        <v>0</v>
      </c>
      <c r="F67" s="572">
        <v>0</v>
      </c>
    </row>
    <row r="68" spans="1:6" x14ac:dyDescent="0.3">
      <c r="A68" s="563"/>
      <c r="B68" s="568" t="s">
        <v>1515</v>
      </c>
      <c r="C68" s="553"/>
      <c r="D68" s="566"/>
      <c r="E68" s="810">
        <v>0</v>
      </c>
      <c r="F68" s="572">
        <v>0</v>
      </c>
    </row>
    <row r="69" spans="1:6" x14ac:dyDescent="0.3">
      <c r="B69" s="544" t="s">
        <v>298</v>
      </c>
      <c r="C69" s="361"/>
      <c r="D69" s="361"/>
      <c r="E69" s="818">
        <f>SUM(E52:E68)</f>
        <v>-12554622.374154998</v>
      </c>
      <c r="F69" s="580">
        <f>SUM(F52:F68)</f>
        <v>-10239258.569035407</v>
      </c>
    </row>
    <row r="70" spans="1:6" x14ac:dyDescent="0.3">
      <c r="B70" s="543"/>
      <c r="C70" s="352"/>
      <c r="D70" s="352"/>
      <c r="E70" s="809"/>
      <c r="F70" s="355"/>
    </row>
    <row r="71" spans="1:6" x14ac:dyDescent="0.3">
      <c r="B71" s="540" t="s">
        <v>299</v>
      </c>
      <c r="C71" s="340"/>
      <c r="D71" s="340"/>
      <c r="E71" s="809"/>
      <c r="F71" s="355"/>
    </row>
    <row r="72" spans="1:6" x14ac:dyDescent="0.3">
      <c r="B72" s="539" t="s">
        <v>215</v>
      </c>
      <c r="C72" s="338"/>
      <c r="D72" s="338"/>
      <c r="E72" s="806" t="s">
        <v>1291</v>
      </c>
      <c r="F72" s="339" t="s">
        <v>586</v>
      </c>
    </row>
    <row r="73" spans="1:6" x14ac:dyDescent="0.3">
      <c r="B73" s="585" t="s">
        <v>1530</v>
      </c>
      <c r="C73" s="586"/>
      <c r="D73" s="586"/>
      <c r="E73" s="814"/>
      <c r="F73" s="587"/>
    </row>
    <row r="74" spans="1:6" x14ac:dyDescent="0.3">
      <c r="A74" s="593"/>
      <c r="B74" s="564" t="s">
        <v>1516</v>
      </c>
      <c r="C74" s="565"/>
      <c r="D74" s="594"/>
      <c r="E74" s="819">
        <v>0</v>
      </c>
      <c r="F74" s="595">
        <v>0</v>
      </c>
    </row>
    <row r="75" spans="1:6" x14ac:dyDescent="0.3">
      <c r="A75" s="593"/>
      <c r="B75" s="564" t="s">
        <v>1528</v>
      </c>
      <c r="C75" s="565"/>
      <c r="D75" s="594"/>
      <c r="E75" s="819">
        <v>0</v>
      </c>
      <c r="F75" s="595">
        <v>0</v>
      </c>
    </row>
    <row r="76" spans="1:6" x14ac:dyDescent="0.3">
      <c r="A76" s="593"/>
      <c r="B76" s="564" t="s">
        <v>1517</v>
      </c>
      <c r="C76" s="565"/>
      <c r="D76" s="565"/>
      <c r="E76" s="819">
        <v>0</v>
      </c>
      <c r="F76" s="595">
        <v>0</v>
      </c>
    </row>
    <row r="77" spans="1:6" x14ac:dyDescent="0.3">
      <c r="A77" s="593"/>
      <c r="B77" s="564" t="s">
        <v>1529</v>
      </c>
      <c r="C77" s="565"/>
      <c r="D77" s="565"/>
      <c r="E77" s="819">
        <v>0</v>
      </c>
      <c r="F77" s="595">
        <v>0</v>
      </c>
    </row>
    <row r="78" spans="1:6" x14ac:dyDescent="0.3">
      <c r="A78" s="593"/>
      <c r="B78" s="564" t="s">
        <v>1518</v>
      </c>
      <c r="C78" s="565"/>
      <c r="D78" s="565"/>
      <c r="E78" s="819">
        <v>0</v>
      </c>
      <c r="F78" s="595">
        <v>0</v>
      </c>
    </row>
    <row r="79" spans="1:6" x14ac:dyDescent="0.3">
      <c r="A79" s="593"/>
      <c r="B79" s="564" t="s">
        <v>1519</v>
      </c>
      <c r="C79" s="565"/>
      <c r="D79" s="565"/>
      <c r="E79" s="819">
        <v>0</v>
      </c>
      <c r="F79" s="595">
        <v>0</v>
      </c>
    </row>
    <row r="80" spans="1:6" x14ac:dyDescent="0.3">
      <c r="A80" s="593"/>
      <c r="B80" s="564" t="s">
        <v>1520</v>
      </c>
      <c r="C80" s="565"/>
      <c r="D80" s="565"/>
      <c r="E80" s="819">
        <v>0</v>
      </c>
      <c r="F80" s="595">
        <v>0</v>
      </c>
    </row>
    <row r="81" spans="1:6" x14ac:dyDescent="0.3">
      <c r="A81" s="593"/>
      <c r="B81" s="564" t="s">
        <v>1521</v>
      </c>
      <c r="C81" s="565"/>
      <c r="D81" s="565"/>
      <c r="E81" s="819">
        <v>0</v>
      </c>
      <c r="F81" s="595">
        <v>0</v>
      </c>
    </row>
    <row r="82" spans="1:6" x14ac:dyDescent="0.3">
      <c r="A82" s="593"/>
      <c r="B82" s="596" t="s">
        <v>1522</v>
      </c>
      <c r="E82" s="809">
        <f>'BS PL CFL'!G48-'BS PL CFL'!H48</f>
        <v>0</v>
      </c>
      <c r="F82" s="344">
        <v>-80000000</v>
      </c>
    </row>
    <row r="83" spans="1:6" x14ac:dyDescent="0.3">
      <c r="A83" s="593"/>
      <c r="B83" s="568" t="s">
        <v>1523</v>
      </c>
      <c r="C83" s="553"/>
      <c r="D83" s="553"/>
      <c r="E83" s="820">
        <v>0</v>
      </c>
      <c r="F83" s="597">
        <v>0</v>
      </c>
    </row>
    <row r="84" spans="1:6" ht="31.2" x14ac:dyDescent="0.3">
      <c r="A84" s="593"/>
      <c r="B84" s="568" t="s">
        <v>1524</v>
      </c>
      <c r="C84" s="553"/>
      <c r="D84" s="566"/>
      <c r="E84" s="820">
        <v>0</v>
      </c>
      <c r="F84" s="597">
        <v>0</v>
      </c>
    </row>
    <row r="85" spans="1:6" ht="31.2" x14ac:dyDescent="0.3">
      <c r="A85" s="593"/>
      <c r="B85" s="568" t="s">
        <v>1525</v>
      </c>
      <c r="C85" s="553"/>
      <c r="D85" s="566"/>
      <c r="E85" s="820">
        <v>0</v>
      </c>
      <c r="F85" s="597">
        <v>0</v>
      </c>
    </row>
    <row r="86" spans="1:6" x14ac:dyDescent="0.3">
      <c r="A86" s="593"/>
      <c r="B86" s="568" t="s">
        <v>1526</v>
      </c>
      <c r="C86" s="553"/>
      <c r="D86" s="566"/>
      <c r="E86" s="820">
        <v>0</v>
      </c>
      <c r="F86" s="597">
        <v>0</v>
      </c>
    </row>
    <row r="87" spans="1:6" x14ac:dyDescent="0.3">
      <c r="A87" s="593"/>
      <c r="B87" s="568" t="s">
        <v>1527</v>
      </c>
      <c r="C87" s="553"/>
      <c r="D87" s="566"/>
      <c r="E87" s="809">
        <f>E14</f>
        <v>0</v>
      </c>
      <c r="F87" s="344">
        <v>-20996439</v>
      </c>
    </row>
    <row r="88" spans="1:6" x14ac:dyDescent="0.3">
      <c r="B88" s="581" t="s">
        <v>260</v>
      </c>
      <c r="C88" s="582"/>
      <c r="D88" s="582"/>
      <c r="E88" s="821">
        <f>('BS PL CFL'!G51+'BS PL CFL'!G52)-('BS PL CFL'!H51+'BS PL CFL'!H52)-'P&amp;L'!F34-0.4</f>
        <v>-0.4</v>
      </c>
      <c r="F88" s="583">
        <v>-498674</v>
      </c>
    </row>
    <row r="89" spans="1:6" x14ac:dyDescent="0.3">
      <c r="B89" s="544" t="s">
        <v>301</v>
      </c>
      <c r="C89" s="361"/>
      <c r="D89" s="361"/>
      <c r="E89" s="815">
        <f>SUM(E73:E88)</f>
        <v>-0.4</v>
      </c>
      <c r="F89" s="815">
        <f>SUM(F73:F88)</f>
        <v>-101495113</v>
      </c>
    </row>
    <row r="90" spans="1:6" x14ac:dyDescent="0.3">
      <c r="B90" s="543"/>
      <c r="C90" s="352"/>
      <c r="D90" s="352"/>
      <c r="E90" s="809"/>
      <c r="F90" s="357"/>
    </row>
    <row r="91" spans="1:6" x14ac:dyDescent="0.3">
      <c r="B91" s="540" t="s">
        <v>302</v>
      </c>
      <c r="C91" s="340"/>
      <c r="D91" s="340"/>
      <c r="E91" s="808" t="e">
        <f>E47+E69+E89</f>
        <v>#REF!</v>
      </c>
      <c r="F91" s="358">
        <v>-1187612.5690354109</v>
      </c>
    </row>
    <row r="92" spans="1:6" ht="46.8" x14ac:dyDescent="0.3">
      <c r="B92" s="592" t="s">
        <v>1533</v>
      </c>
      <c r="C92" s="352"/>
      <c r="D92" s="352"/>
      <c r="E92" s="809">
        <v>512575</v>
      </c>
      <c r="F92" s="809">
        <v>1700188</v>
      </c>
    </row>
    <row r="93" spans="1:6" ht="31.2" x14ac:dyDescent="0.3">
      <c r="B93" s="588" t="s">
        <v>1531</v>
      </c>
      <c r="C93" s="340"/>
      <c r="D93" s="340"/>
      <c r="E93" s="808">
        <v>0</v>
      </c>
      <c r="F93" s="808">
        <v>0</v>
      </c>
    </row>
    <row r="94" spans="1:6" s="377" customFormat="1" ht="31.2" x14ac:dyDescent="0.3">
      <c r="B94" s="331" t="s">
        <v>1532</v>
      </c>
      <c r="C94" s="340"/>
      <c r="D94" s="340"/>
      <c r="E94" s="808" t="e">
        <f>E91+E92+E93</f>
        <v>#REF!</v>
      </c>
      <c r="F94" s="808">
        <f>F91+F92+F93</f>
        <v>512575.43096458912</v>
      </c>
    </row>
    <row r="95" spans="1:6" ht="31.2" x14ac:dyDescent="0.3">
      <c r="A95" s="593"/>
      <c r="B95" s="574" t="s">
        <v>1534</v>
      </c>
      <c r="C95" s="396"/>
      <c r="D95" s="396"/>
      <c r="E95" s="822"/>
      <c r="F95" s="1003"/>
    </row>
    <row r="96" spans="1:6" x14ac:dyDescent="0.3">
      <c r="A96" s="593"/>
      <c r="B96" s="568" t="s">
        <v>1537</v>
      </c>
      <c r="C96" s="553"/>
      <c r="D96" s="553"/>
      <c r="E96" s="823">
        <f>'sch-4-13'!D180</f>
        <v>75136.409999999989</v>
      </c>
      <c r="F96" s="823">
        <f>'sch-4-13'!E180</f>
        <v>512575</v>
      </c>
    </row>
    <row r="97" spans="1:14" x14ac:dyDescent="0.3">
      <c r="A97" s="593"/>
      <c r="B97" s="568" t="s">
        <v>1535</v>
      </c>
      <c r="C97" s="553"/>
      <c r="D97" s="553"/>
      <c r="E97" s="823"/>
      <c r="F97" s="1004"/>
    </row>
    <row r="98" spans="1:14" ht="16.2" thickBot="1" x14ac:dyDescent="0.35">
      <c r="A98" s="598"/>
      <c r="B98" s="599" t="s">
        <v>1536</v>
      </c>
      <c r="C98" s="600"/>
      <c r="D98" s="600"/>
      <c r="E98" s="824">
        <f>E96+E97</f>
        <v>75136.409999999989</v>
      </c>
      <c r="F98" s="824">
        <f>F96+F97</f>
        <v>512575</v>
      </c>
    </row>
    <row r="99" spans="1:14" ht="4.2" customHeight="1" thickTop="1" x14ac:dyDescent="0.3">
      <c r="B99" s="323"/>
      <c r="C99" s="337"/>
      <c r="D99" s="337"/>
      <c r="E99" s="817"/>
      <c r="F99" s="362"/>
    </row>
    <row r="100" spans="1:14" x14ac:dyDescent="0.3">
      <c r="B100" s="323"/>
      <c r="C100" s="337"/>
      <c r="D100" s="337"/>
      <c r="E100" s="805"/>
      <c r="F100" s="376"/>
    </row>
    <row r="101" spans="1:14" x14ac:dyDescent="0.3">
      <c r="B101" s="303" t="s">
        <v>357</v>
      </c>
      <c r="C101" s="304"/>
      <c r="D101" s="304"/>
      <c r="E101" s="825"/>
      <c r="F101" s="545"/>
      <c r="G101" s="300"/>
      <c r="N101" s="377"/>
    </row>
    <row r="102" spans="1:14" x14ac:dyDescent="0.3">
      <c r="B102" s="312" t="s">
        <v>1437</v>
      </c>
      <c r="C102" s="304"/>
      <c r="D102" s="308" t="s">
        <v>359</v>
      </c>
      <c r="E102" s="826"/>
      <c r="F102" s="546"/>
      <c r="G102" s="300"/>
    </row>
    <row r="103" spans="1:14" x14ac:dyDescent="0.3">
      <c r="B103" s="309" t="s">
        <v>251</v>
      </c>
      <c r="C103" s="304"/>
      <c r="D103" s="310" t="s">
        <v>212</v>
      </c>
      <c r="E103" s="826"/>
      <c r="F103" s="546"/>
      <c r="G103" s="300"/>
    </row>
    <row r="104" spans="1:14" x14ac:dyDescent="0.3">
      <c r="B104" s="309" t="s">
        <v>1438</v>
      </c>
      <c r="C104" s="304"/>
      <c r="D104" s="304"/>
      <c r="E104" s="826"/>
      <c r="F104" s="545"/>
      <c r="G104" s="300"/>
    </row>
    <row r="105" spans="1:14" x14ac:dyDescent="0.3">
      <c r="B105" s="309"/>
      <c r="C105" s="304"/>
      <c r="D105" s="304"/>
      <c r="E105" s="826"/>
      <c r="F105" s="545"/>
      <c r="G105" s="300"/>
    </row>
    <row r="106" spans="1:14" x14ac:dyDescent="0.3">
      <c r="B106" s="309"/>
      <c r="C106" s="304"/>
      <c r="D106" s="313" t="s">
        <v>590</v>
      </c>
      <c r="E106" s="826"/>
      <c r="F106" s="545"/>
      <c r="G106" s="300"/>
    </row>
    <row r="107" spans="1:14" x14ac:dyDescent="0.3">
      <c r="B107" s="309"/>
      <c r="C107" s="304"/>
      <c r="D107" s="313" t="s">
        <v>592</v>
      </c>
      <c r="E107" s="826"/>
      <c r="F107" s="545"/>
      <c r="G107" s="300"/>
    </row>
    <row r="108" spans="1:14" x14ac:dyDescent="0.3">
      <c r="B108" s="312" t="s">
        <v>1439</v>
      </c>
      <c r="C108" s="304"/>
      <c r="D108" s="313" t="s">
        <v>591</v>
      </c>
      <c r="E108" s="826"/>
      <c r="F108" s="547"/>
    </row>
    <row r="109" spans="1:14" x14ac:dyDescent="0.3">
      <c r="B109" s="309" t="s">
        <v>364</v>
      </c>
      <c r="C109" s="304"/>
      <c r="E109" s="826"/>
      <c r="F109" s="547"/>
    </row>
    <row r="110" spans="1:14" x14ac:dyDescent="0.3">
      <c r="B110" s="309" t="s">
        <v>1440</v>
      </c>
      <c r="C110" s="304"/>
      <c r="E110" s="826"/>
      <c r="F110" s="547"/>
    </row>
    <row r="111" spans="1:14" x14ac:dyDescent="0.3">
      <c r="B111" s="309"/>
      <c r="C111" s="304"/>
      <c r="D111" s="313" t="s">
        <v>362</v>
      </c>
      <c r="E111" s="805"/>
      <c r="F111" s="336" t="s">
        <v>363</v>
      </c>
    </row>
    <row r="112" spans="1:14" x14ac:dyDescent="0.3">
      <c r="B112" s="311" t="s">
        <v>370</v>
      </c>
      <c r="C112" s="305"/>
      <c r="D112" s="313" t="s">
        <v>365</v>
      </c>
      <c r="E112" s="827"/>
      <c r="F112" s="336" t="s">
        <v>366</v>
      </c>
    </row>
    <row r="113" spans="2:13" x14ac:dyDescent="0.3">
      <c r="B113" s="315" t="s">
        <v>1441</v>
      </c>
      <c r="C113" s="316"/>
      <c r="D113" s="548" t="s">
        <v>368</v>
      </c>
      <c r="E113" s="828"/>
      <c r="F113" s="549" t="s">
        <v>369</v>
      </c>
    </row>
    <row r="115" spans="2:13" x14ac:dyDescent="0.3">
      <c r="E115" s="302">
        <f>'BS PL CFL'!G31</f>
        <v>0</v>
      </c>
    </row>
    <row r="116" spans="2:13" x14ac:dyDescent="0.3">
      <c r="E116" s="302" t="e">
        <f>#REF!-E115</f>
        <v>#REF!</v>
      </c>
    </row>
    <row r="117" spans="2:13" x14ac:dyDescent="0.3">
      <c r="E117" s="302" t="e">
        <f>E116/2</f>
        <v>#REF!</v>
      </c>
    </row>
    <row r="124" spans="2:13" x14ac:dyDescent="0.3">
      <c r="H124" s="363" t="s">
        <v>626</v>
      </c>
      <c r="I124" s="339" t="s">
        <v>706</v>
      </c>
      <c r="J124" s="339" t="s">
        <v>586</v>
      </c>
    </row>
    <row r="125" spans="2:13" x14ac:dyDescent="0.3">
      <c r="H125" s="364" t="s">
        <v>450</v>
      </c>
      <c r="I125" s="365"/>
      <c r="J125" s="365"/>
    </row>
    <row r="126" spans="2:13" x14ac:dyDescent="0.3">
      <c r="H126" s="366" t="s">
        <v>256</v>
      </c>
      <c r="I126" s="576">
        <v>0</v>
      </c>
      <c r="J126" s="576"/>
      <c r="K126" s="377"/>
      <c r="L126" s="377"/>
      <c r="M126" s="377"/>
    </row>
    <row r="127" spans="2:13" x14ac:dyDescent="0.3">
      <c r="H127" s="367" t="s">
        <v>453</v>
      </c>
      <c r="I127" s="365">
        <f>+'sch-4-13'!D250</f>
        <v>4605126</v>
      </c>
      <c r="J127" s="365">
        <v>12444487</v>
      </c>
    </row>
    <row r="128" spans="2:13" x14ac:dyDescent="0.3">
      <c r="H128" s="367" t="s">
        <v>496</v>
      </c>
      <c r="I128" s="365">
        <v>0</v>
      </c>
      <c r="J128" s="365">
        <v>20308010</v>
      </c>
    </row>
    <row r="129" spans="8:13" x14ac:dyDescent="0.3">
      <c r="H129" s="367" t="s">
        <v>257</v>
      </c>
      <c r="I129" s="365"/>
      <c r="J129" s="365"/>
    </row>
    <row r="130" spans="8:13" x14ac:dyDescent="0.3">
      <c r="H130" s="367" t="s">
        <v>258</v>
      </c>
      <c r="I130" s="365">
        <v>0</v>
      </c>
      <c r="J130" s="365">
        <v>9137679</v>
      </c>
    </row>
    <row r="131" spans="8:13" x14ac:dyDescent="0.3">
      <c r="H131" s="367"/>
      <c r="I131" s="365"/>
      <c r="J131" s="324"/>
    </row>
    <row r="132" spans="8:13" x14ac:dyDescent="0.3">
      <c r="H132" s="353" t="s">
        <v>217</v>
      </c>
      <c r="I132" s="302">
        <f>+'sch-4-13'!D253</f>
        <v>157331699.14999998</v>
      </c>
      <c r="J132" s="365"/>
    </row>
    <row r="133" spans="8:13" x14ac:dyDescent="0.3">
      <c r="H133" s="354" t="s">
        <v>259</v>
      </c>
      <c r="I133" s="368"/>
      <c r="J133" s="365"/>
    </row>
    <row r="134" spans="8:13" x14ac:dyDescent="0.3">
      <c r="H134" s="354" t="s">
        <v>454</v>
      </c>
      <c r="I134" s="365"/>
      <c r="J134" s="365">
        <v>0</v>
      </c>
    </row>
    <row r="135" spans="8:13" x14ac:dyDescent="0.3">
      <c r="H135" s="354" t="s">
        <v>550</v>
      </c>
      <c r="I135" s="365"/>
      <c r="J135" s="365">
        <v>100000</v>
      </c>
    </row>
    <row r="136" spans="8:13" x14ac:dyDescent="0.3">
      <c r="H136" s="354" t="s">
        <v>606</v>
      </c>
      <c r="I136" s="365"/>
      <c r="J136" s="365">
        <v>4000000</v>
      </c>
    </row>
    <row r="137" spans="8:13" x14ac:dyDescent="0.3">
      <c r="H137" s="356" t="s">
        <v>551</v>
      </c>
      <c r="I137" s="369"/>
      <c r="J137" s="369">
        <v>2500000</v>
      </c>
    </row>
    <row r="138" spans="8:13" x14ac:dyDescent="0.3">
      <c r="H138" s="354" t="s">
        <v>552</v>
      </c>
      <c r="I138" s="365"/>
      <c r="J138" s="365">
        <v>5257509</v>
      </c>
    </row>
    <row r="139" spans="8:13" x14ac:dyDescent="0.3">
      <c r="H139" s="356" t="s">
        <v>605</v>
      </c>
      <c r="I139" s="369"/>
      <c r="J139" s="369">
        <v>7249941</v>
      </c>
    </row>
    <row r="140" spans="8:13" x14ac:dyDescent="0.3">
      <c r="H140" s="356" t="s">
        <v>553</v>
      </c>
      <c r="I140" s="369"/>
      <c r="J140" s="369">
        <v>5399812</v>
      </c>
    </row>
    <row r="141" spans="8:13" x14ac:dyDescent="0.3">
      <c r="H141" s="354" t="s">
        <v>554</v>
      </c>
      <c r="I141" s="365"/>
      <c r="J141" s="365">
        <v>774000</v>
      </c>
      <c r="K141" s="330">
        <f>I144-J144</f>
        <v>-41655146.850000024</v>
      </c>
      <c r="L141" s="302">
        <v>168402652.14999998</v>
      </c>
      <c r="M141" s="330">
        <f>I144-L141</f>
        <v>-6465827</v>
      </c>
    </row>
    <row r="142" spans="8:13" x14ac:dyDescent="0.3">
      <c r="H142" s="354" t="s">
        <v>589</v>
      </c>
      <c r="I142" s="365"/>
      <c r="J142" s="365">
        <v>123920534</v>
      </c>
      <c r="K142" s="330">
        <f>I145-J145</f>
        <v>-140000000</v>
      </c>
    </row>
    <row r="143" spans="8:13" x14ac:dyDescent="0.3">
      <c r="H143" s="359" t="s">
        <v>555</v>
      </c>
      <c r="I143" s="370"/>
      <c r="J143" s="370">
        <v>12500000</v>
      </c>
      <c r="K143" s="330">
        <f>I146-J146</f>
        <v>0</v>
      </c>
    </row>
    <row r="144" spans="8:13" x14ac:dyDescent="0.3">
      <c r="H144" s="360" t="s">
        <v>213</v>
      </c>
      <c r="I144" s="371">
        <f>SUM(I125:I143)</f>
        <v>161936825.14999998</v>
      </c>
      <c r="J144" s="372">
        <f>SUM(J125:J143)</f>
        <v>203591972</v>
      </c>
    </row>
    <row r="145" spans="8:10" x14ac:dyDescent="0.3">
      <c r="H145" s="360" t="s">
        <v>628</v>
      </c>
      <c r="I145" s="373">
        <v>0</v>
      </c>
      <c r="J145" s="373">
        <v>140000000</v>
      </c>
    </row>
    <row r="146" spans="8:10" x14ac:dyDescent="0.3">
      <c r="H146" s="360" t="s">
        <v>627</v>
      </c>
      <c r="I146" s="374">
        <v>0</v>
      </c>
      <c r="J146" s="375">
        <v>0</v>
      </c>
    </row>
  </sheetData>
  <mergeCells count="2">
    <mergeCell ref="B5:F5"/>
    <mergeCell ref="B6:F6"/>
  </mergeCells>
  <pageMargins left="0.5" right="0.43" top="0.75" bottom="0.75" header="0.3" footer="0.3"/>
  <pageSetup paperSize="9" scale="64" orientation="portrait" r:id="rId1"/>
  <rowBreaks count="1" manualBreakCount="1">
    <brk id="48"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20</vt:i4>
      </vt:variant>
    </vt:vector>
  </HeadingPairs>
  <TitlesOfParts>
    <vt:vector size="60" baseType="lpstr">
      <vt:lpstr>Trial Balance</vt:lpstr>
      <vt:lpstr>Capital expenses and normal</vt:lpstr>
      <vt:lpstr>Sundry Creditors</vt:lpstr>
      <vt:lpstr>Sundry Debtors</vt:lpstr>
      <vt:lpstr>BS PL CFL</vt:lpstr>
      <vt:lpstr>Computation-IT</vt:lpstr>
      <vt:lpstr>Equity</vt:lpstr>
      <vt:lpstr>P&amp;L</vt:lpstr>
      <vt:lpstr>Cash- Folw</vt:lpstr>
      <vt:lpstr>Sch</vt:lpstr>
      <vt:lpstr>sch 1-PPE</vt:lpstr>
      <vt:lpstr>sch 12-12.2</vt:lpstr>
      <vt:lpstr>Sheet3</vt:lpstr>
      <vt:lpstr>TB-30.03.2021</vt:lpstr>
      <vt:lpstr>Notes to Cash Flow</vt:lpstr>
      <vt:lpstr>Sch1-2</vt:lpstr>
      <vt:lpstr>sch-4-13</vt:lpstr>
      <vt:lpstr>DTLDFA</vt:lpstr>
      <vt:lpstr>iash-3</vt:lpstr>
      <vt:lpstr>IT Dep</vt:lpstr>
      <vt:lpstr>workings</vt:lpstr>
      <vt:lpstr>Computation</vt:lpstr>
      <vt:lpstr>TB NEW</vt:lpstr>
      <vt:lpstr>Ratios</vt:lpstr>
      <vt:lpstr>sch 19-26</vt:lpstr>
      <vt:lpstr>COE</vt:lpstr>
      <vt:lpstr>cash flow</vt:lpstr>
      <vt:lpstr>COMP</vt:lpstr>
      <vt:lpstr>MAT</vt:lpstr>
      <vt:lpstr>Tax Dep</vt:lpstr>
      <vt:lpstr>Final tb</vt:lpstr>
      <vt:lpstr>Def Tax</vt:lpstr>
      <vt:lpstr>sundrydebtors</vt:lpstr>
      <vt:lpstr>SUNDRY CREDI</vt:lpstr>
      <vt:lpstr>TB-Export</vt:lpstr>
      <vt:lpstr>Closing Stock</vt:lpstr>
      <vt:lpstr>Schedules for debtors</vt:lpstr>
      <vt:lpstr>Sheet2</vt:lpstr>
      <vt:lpstr>Schedule for creditors</vt:lpstr>
      <vt:lpstr>Sheet1</vt:lpstr>
      <vt:lpstr>'BS PL CFL'!Print_Area</vt:lpstr>
      <vt:lpstr>'Cash- Folw'!Print_Area</vt:lpstr>
      <vt:lpstr>COE!Print_Area</vt:lpstr>
      <vt:lpstr>COMP!Print_Area</vt:lpstr>
      <vt:lpstr>'Def Tax'!Print_Area</vt:lpstr>
      <vt:lpstr>DTLDFA!Print_Area</vt:lpstr>
      <vt:lpstr>Equity!Print_Area</vt:lpstr>
      <vt:lpstr>MAT!Print_Area</vt:lpstr>
      <vt:lpstr>'P&amp;L'!Print_Area</vt:lpstr>
      <vt:lpstr>Sch!Print_Area</vt:lpstr>
      <vt:lpstr>'sch 12-12.2'!Print_Area</vt:lpstr>
      <vt:lpstr>'sch 19-26'!Print_Area</vt:lpstr>
      <vt:lpstr>'sch 1-PPE'!Print_Area</vt:lpstr>
      <vt:lpstr>'Sch1-2'!Print_Area</vt:lpstr>
      <vt:lpstr>'sch-4-13'!Print_Area</vt:lpstr>
      <vt:lpstr>'Schedules for debtors'!Print_Area</vt:lpstr>
      <vt:lpstr>workings!Print_Area</vt:lpstr>
      <vt:lpstr>'P&amp;L'!Print_Titles</vt:lpstr>
      <vt:lpstr>Sch!Print_Titles</vt:lpstr>
      <vt:lpstr>'sch-4-13'!Print_Titles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2023-05-29T10:43:51Z</dcterms:modified>
</cp:coreProperties>
</file>